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Tabela 1." sheetId="1" r:id="rId1"/>
    <sheet name="Tabela 3." sheetId="10" r:id="rId2"/>
    <sheet name="Tabela 6." sheetId="2" r:id="rId3"/>
    <sheet name="Tabela 7." sheetId="16" r:id="rId4"/>
    <sheet name="Tabela 8." sheetId="21" r:id="rId5"/>
    <sheet name="Tabela 9." sheetId="30" r:id="rId6"/>
    <sheet name="Tabela 10. " sheetId="31" r:id="rId7"/>
    <sheet name="Projektet 2026" sheetId="27" r:id="rId8"/>
    <sheet name="Projektet 2027" sheetId="28" r:id="rId9"/>
    <sheet name="Projektet 2028" sheetId="29" r:id="rId10"/>
    <sheet name="Tabela.11" sheetId="17" r:id="rId11"/>
    <sheet name="Tabela 13." sheetId="19" r:id="rId12"/>
  </sheets>
  <definedNames>
    <definedName name="_xlchart.v1.0" hidden="1">Tabela.11!$A$3:$A$4</definedName>
    <definedName name="_xlchart.v1.1" hidden="1">Tabela.11!$B$2</definedName>
    <definedName name="_xlchart.v1.2" hidden="1">Tabela.11!$B$3:$B$4</definedName>
    <definedName name="_xlnm.Print_Area" localSheetId="7">'Projektet 2026'!$A$1:$E$60</definedName>
  </definedNames>
  <calcPr calcId="191029"/>
</workbook>
</file>

<file path=xl/calcChain.xml><?xml version="1.0" encoding="utf-8"?>
<calcChain xmlns="http://schemas.openxmlformats.org/spreadsheetml/2006/main">
  <c r="E62" i="29" l="1"/>
  <c r="D62" i="29"/>
  <c r="C62" i="29"/>
  <c r="E47" i="29"/>
  <c r="D47" i="29"/>
  <c r="C46" i="29"/>
  <c r="C45" i="29"/>
  <c r="C44" i="29"/>
  <c r="E42" i="29"/>
  <c r="D42" i="29"/>
  <c r="C41" i="29"/>
  <c r="C40" i="29"/>
  <c r="C39" i="29"/>
  <c r="C38" i="29"/>
  <c r="E36" i="29"/>
  <c r="D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36" i="29" s="1"/>
  <c r="C11" i="29"/>
  <c r="C10" i="29"/>
  <c r="C9" i="29"/>
  <c r="C8" i="29"/>
  <c r="C7" i="29"/>
  <c r="C6" i="29"/>
  <c r="C5" i="29"/>
  <c r="C4" i="29"/>
  <c r="E62" i="28"/>
  <c r="D62" i="28"/>
  <c r="C62" i="28"/>
  <c r="E47" i="28"/>
  <c r="D47" i="28"/>
  <c r="C46" i="28"/>
  <c r="C45" i="28"/>
  <c r="C44" i="28"/>
  <c r="E42" i="28"/>
  <c r="D42" i="28"/>
  <c r="C41" i="28"/>
  <c r="C40" i="28"/>
  <c r="C39" i="28"/>
  <c r="C38" i="28"/>
  <c r="E36" i="28"/>
  <c r="D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36" i="28" s="1"/>
  <c r="C11" i="28"/>
  <c r="C10" i="28"/>
  <c r="C9" i="28"/>
  <c r="C8" i="28"/>
  <c r="C7" i="28"/>
  <c r="C6" i="28"/>
  <c r="C5" i="28"/>
  <c r="C4" i="28"/>
  <c r="E62" i="27"/>
  <c r="D62" i="27"/>
  <c r="C62" i="27"/>
  <c r="E47" i="27"/>
  <c r="D47" i="27"/>
  <c r="C46" i="27"/>
  <c r="C45" i="27"/>
  <c r="C44" i="27"/>
  <c r="E42" i="27"/>
  <c r="D42" i="27"/>
  <c r="C41" i="27"/>
  <c r="C42" i="27" s="1"/>
  <c r="C40" i="27"/>
  <c r="C39" i="27"/>
  <c r="C38" i="27"/>
  <c r="E36" i="27"/>
  <c r="D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36" i="27" s="1"/>
  <c r="C11" i="27"/>
  <c r="C10" i="27"/>
  <c r="C9" i="27"/>
  <c r="C8" i="27"/>
  <c r="C7" i="27"/>
  <c r="C6" i="27"/>
  <c r="C5" i="27"/>
  <c r="C4" i="27"/>
  <c r="E61" i="29"/>
  <c r="C60" i="29"/>
  <c r="E59" i="29"/>
  <c r="D59" i="29"/>
  <c r="C58" i="29"/>
  <c r="C59" i="29" s="1"/>
  <c r="E57" i="29"/>
  <c r="D57" i="29"/>
  <c r="C57" i="29"/>
  <c r="C56" i="29"/>
  <c r="E55" i="29"/>
  <c r="D55" i="29"/>
  <c r="C54" i="29"/>
  <c r="C53" i="29"/>
  <c r="C55" i="29" s="1"/>
  <c r="E52" i="29"/>
  <c r="D52" i="29"/>
  <c r="C51" i="29"/>
  <c r="C52" i="29" s="1"/>
  <c r="E50" i="29"/>
  <c r="D50" i="29"/>
  <c r="C49" i="29"/>
  <c r="C48" i="29"/>
  <c r="C50" i="29" s="1"/>
  <c r="C43" i="29"/>
  <c r="C47" i="29" s="1"/>
  <c r="C37" i="29"/>
  <c r="C3" i="29"/>
  <c r="E61" i="28"/>
  <c r="D61" i="28"/>
  <c r="C60" i="28"/>
  <c r="C61" i="28" s="1"/>
  <c r="E59" i="28"/>
  <c r="D59" i="28"/>
  <c r="C58" i="28"/>
  <c r="C59" i="28" s="1"/>
  <c r="E57" i="28"/>
  <c r="D57" i="28"/>
  <c r="C56" i="28"/>
  <c r="C57" i="28" s="1"/>
  <c r="E55" i="28"/>
  <c r="D55" i="28"/>
  <c r="C54" i="28"/>
  <c r="C53" i="28"/>
  <c r="C55" i="28" s="1"/>
  <c r="E52" i="28"/>
  <c r="D52" i="28"/>
  <c r="C51" i="28"/>
  <c r="C52" i="28" s="1"/>
  <c r="E50" i="28"/>
  <c r="D50" i="28"/>
  <c r="C50" i="28"/>
  <c r="C49" i="28"/>
  <c r="C48" i="28"/>
  <c r="C43" i="28"/>
  <c r="C42" i="28"/>
  <c r="C37" i="28"/>
  <c r="E5" i="28"/>
  <c r="D5" i="28"/>
  <c r="C3" i="28"/>
  <c r="E61" i="27"/>
  <c r="D61" i="27"/>
  <c r="C61" i="27"/>
  <c r="C60" i="27"/>
  <c r="E59" i="27"/>
  <c r="D59" i="27"/>
  <c r="C58" i="27"/>
  <c r="C59" i="27" s="1"/>
  <c r="E57" i="27"/>
  <c r="D57" i="27"/>
  <c r="C56" i="27"/>
  <c r="C57" i="27" s="1"/>
  <c r="E55" i="27"/>
  <c r="D55" i="27"/>
  <c r="C55" i="27"/>
  <c r="C54" i="27"/>
  <c r="C53" i="27"/>
  <c r="E52" i="27"/>
  <c r="D52" i="27"/>
  <c r="C51" i="27"/>
  <c r="C52" i="27" s="1"/>
  <c r="E50" i="27"/>
  <c r="D50" i="27"/>
  <c r="C49" i="27"/>
  <c r="C48" i="27"/>
  <c r="C50" i="27" s="1"/>
  <c r="C43" i="27"/>
  <c r="C47" i="27" s="1"/>
  <c r="C37" i="27"/>
  <c r="C3" i="27"/>
  <c r="F6" i="2"/>
  <c r="F26" i="19"/>
  <c r="F25" i="19"/>
  <c r="C42" i="29" l="1"/>
  <c r="C47" i="28"/>
  <c r="G20" i="19"/>
  <c r="F20" i="19"/>
  <c r="F19" i="19"/>
  <c r="F18" i="19"/>
  <c r="F17" i="19"/>
  <c r="G16" i="19"/>
  <c r="F15" i="19"/>
  <c r="G14" i="19"/>
  <c r="F14" i="19"/>
  <c r="C17" i="21"/>
  <c r="C21" i="21"/>
  <c r="G9" i="19"/>
  <c r="C17" i="30"/>
  <c r="H17" i="30" s="1"/>
  <c r="C12" i="30"/>
  <c r="C22" i="30" s="1"/>
  <c r="C10" i="30"/>
  <c r="H10" i="30" s="1"/>
  <c r="F9" i="19"/>
  <c r="G6" i="19"/>
  <c r="F6" i="19"/>
  <c r="F5" i="19"/>
  <c r="D17" i="31"/>
  <c r="D21" i="31"/>
  <c r="D22" i="31"/>
  <c r="C12" i="31"/>
  <c r="H12" i="31" s="1"/>
  <c r="C21" i="31"/>
  <c r="C22" i="31" s="1"/>
  <c r="D21" i="30"/>
  <c r="D22" i="30"/>
  <c r="G22" i="31"/>
  <c r="F22" i="31"/>
  <c r="E22" i="31"/>
  <c r="B22" i="31"/>
  <c r="H20" i="31"/>
  <c r="H19" i="31"/>
  <c r="H18" i="31"/>
  <c r="H17" i="31"/>
  <c r="H16" i="31"/>
  <c r="H15" i="31"/>
  <c r="H14" i="31"/>
  <c r="H13" i="31"/>
  <c r="H11" i="31"/>
  <c r="H10" i="31"/>
  <c r="H9" i="31"/>
  <c r="H8" i="31"/>
  <c r="H7" i="31"/>
  <c r="H6" i="31"/>
  <c r="H5" i="31"/>
  <c r="F5" i="31"/>
  <c r="G22" i="30"/>
  <c r="E22" i="30"/>
  <c r="B22" i="30"/>
  <c r="H20" i="30"/>
  <c r="H19" i="30"/>
  <c r="H18" i="30"/>
  <c r="H16" i="30"/>
  <c r="H15" i="30"/>
  <c r="H14" i="30"/>
  <c r="H13" i="30"/>
  <c r="H11" i="30"/>
  <c r="H9" i="30"/>
  <c r="H8" i="30"/>
  <c r="H7" i="30"/>
  <c r="H6" i="30"/>
  <c r="F5" i="30"/>
  <c r="F22" i="30" s="1"/>
  <c r="H12" i="30" l="1"/>
  <c r="H21" i="31"/>
  <c r="H22" i="31" s="1"/>
  <c r="H5" i="30"/>
  <c r="H21" i="30"/>
  <c r="G21" i="19"/>
  <c r="C21" i="19"/>
  <c r="B21" i="19"/>
  <c r="F16" i="19"/>
  <c r="F21" i="19" s="1"/>
  <c r="H11" i="19"/>
  <c r="H5" i="19"/>
  <c r="H20" i="19"/>
  <c r="H19" i="19"/>
  <c r="H18" i="19"/>
  <c r="H17" i="19"/>
  <c r="H15" i="19"/>
  <c r="H14" i="19"/>
  <c r="H13" i="19"/>
  <c r="H12" i="19"/>
  <c r="H10" i="19"/>
  <c r="H9" i="19"/>
  <c r="H8" i="19"/>
  <c r="H7" i="19"/>
  <c r="H6" i="19"/>
  <c r="H4" i="19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D13" i="19"/>
  <c r="E13" i="19" s="1"/>
  <c r="D12" i="19"/>
  <c r="E12" i="19" s="1"/>
  <c r="D11" i="19"/>
  <c r="E11" i="19" s="1"/>
  <c r="D10" i="19"/>
  <c r="E10" i="19" s="1"/>
  <c r="D9" i="19"/>
  <c r="E9" i="19" s="1"/>
  <c r="D8" i="19"/>
  <c r="E8" i="19" s="1"/>
  <c r="D7" i="19"/>
  <c r="E7" i="19" s="1"/>
  <c r="D6" i="19"/>
  <c r="E6" i="19" s="1"/>
  <c r="D5" i="19"/>
  <c r="E5" i="19" s="1"/>
  <c r="D4" i="19"/>
  <c r="E4" i="19" s="1"/>
  <c r="D21" i="21"/>
  <c r="F5" i="21"/>
  <c r="E26" i="10"/>
  <c r="E17" i="10" s="1"/>
  <c r="D26" i="10"/>
  <c r="D17" i="10"/>
  <c r="C26" i="10"/>
  <c r="C17" i="10"/>
  <c r="E4" i="10"/>
  <c r="D4" i="10"/>
  <c r="C4" i="10"/>
  <c r="C9" i="10"/>
  <c r="E39" i="10"/>
  <c r="D39" i="10"/>
  <c r="C39" i="10"/>
  <c r="D21" i="19" l="1"/>
  <c r="E21" i="19" s="1"/>
  <c r="H22" i="30"/>
  <c r="H16" i="19"/>
  <c r="C3" i="10"/>
  <c r="D20" i="2" l="1"/>
  <c r="D19" i="2"/>
  <c r="D18" i="2"/>
  <c r="D17" i="2"/>
  <c r="D16" i="2"/>
  <c r="G22" i="21"/>
  <c r="F22" i="21"/>
  <c r="E22" i="21"/>
  <c r="D22" i="21"/>
  <c r="C22" i="21"/>
  <c r="B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B22" i="16"/>
  <c r="F10" i="2"/>
  <c r="H22" i="21" l="1"/>
  <c r="G6" i="2" l="1"/>
  <c r="E6" i="2"/>
  <c r="E4" i="2" s="1"/>
  <c r="H19" i="16" l="1"/>
  <c r="B5" i="17" l="1"/>
  <c r="C4" i="17" s="1"/>
  <c r="H21" i="19" l="1"/>
  <c r="C3" i="17"/>
  <c r="C5" i="17" s="1"/>
  <c r="G22" i="16"/>
  <c r="C22" i="16"/>
  <c r="H18" i="16"/>
  <c r="H16" i="16"/>
  <c r="H15" i="16"/>
  <c r="H14" i="16"/>
  <c r="H13" i="16"/>
  <c r="H12" i="16"/>
  <c r="H11" i="16"/>
  <c r="E22" i="16"/>
  <c r="H9" i="16"/>
  <c r="H8" i="16"/>
  <c r="H7" i="16"/>
  <c r="H6" i="16"/>
  <c r="H5" i="16"/>
  <c r="D22" i="16" l="1"/>
  <c r="F22" i="16"/>
  <c r="H21" i="16"/>
  <c r="H17" i="16"/>
  <c r="H10" i="16"/>
  <c r="H20" i="16"/>
  <c r="H22" i="16" l="1"/>
  <c r="E8" i="2" l="1"/>
  <c r="E36" i="10"/>
  <c r="D36" i="10"/>
  <c r="C36" i="10"/>
  <c r="E10" i="10" l="1"/>
  <c r="D10" i="10"/>
  <c r="C10" i="10"/>
  <c r="E8" i="10"/>
  <c r="D8" i="10"/>
  <c r="C8" i="10"/>
  <c r="E5" i="10"/>
  <c r="D5" i="10"/>
  <c r="C5" i="10"/>
  <c r="E3" i="10"/>
  <c r="D3" i="10"/>
  <c r="C40" i="10" l="1"/>
  <c r="C31" i="10"/>
  <c r="E31" i="10"/>
  <c r="E40" i="10" s="1"/>
  <c r="D31" i="10"/>
  <c r="D40" i="10" s="1"/>
  <c r="B45" i="10" l="1"/>
  <c r="B44" i="10"/>
  <c r="B43" i="10"/>
  <c r="G4" i="2"/>
  <c r="F4" i="2"/>
  <c r="D4" i="2"/>
  <c r="G8" i="2"/>
  <c r="G7" i="2" s="1"/>
  <c r="F8" i="2"/>
  <c r="F7" i="2" s="1"/>
  <c r="E7" i="2"/>
  <c r="D8" i="2"/>
  <c r="D7" i="2" s="1"/>
  <c r="E8" i="1"/>
  <c r="D8" i="1"/>
  <c r="C8" i="1"/>
  <c r="B8" i="1"/>
</calcChain>
</file>

<file path=xl/comments1.xml><?xml version="1.0" encoding="utf-8"?>
<comments xmlns="http://schemas.openxmlformats.org/spreadsheetml/2006/main">
  <authors>
    <author>Author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Ka qene Asfaltim I rrugeve
</t>
        </r>
      </text>
    </comment>
  </commentList>
</comments>
</file>

<file path=xl/sharedStrings.xml><?xml version="1.0" encoding="utf-8"?>
<sst xmlns="http://schemas.openxmlformats.org/spreadsheetml/2006/main" count="420" uniqueCount="221">
  <si>
    <t>Granti i përgjithshëm</t>
  </si>
  <si>
    <t>Granti specifik i arsimit</t>
  </si>
  <si>
    <t>Granti i shëndetësisë</t>
  </si>
  <si>
    <t>Të  hyrat vetanake</t>
  </si>
  <si>
    <t>Financimi për shërbimet rezidenciale</t>
  </si>
  <si>
    <t xml:space="preserve"> Totali :</t>
  </si>
  <si>
    <t>Përshkrimi</t>
  </si>
  <si>
    <t xml:space="preserve">TË HYRAT TOTALE KOMUNALE  </t>
  </si>
  <si>
    <t xml:space="preserve"> Të hyrat vetanake </t>
  </si>
  <si>
    <t xml:space="preserve">SHPENZIMET TOTALE KOMUNALE </t>
  </si>
  <si>
    <r>
      <t xml:space="preserve"> </t>
    </r>
    <r>
      <rPr>
        <b/>
        <sz val="11"/>
        <color theme="1"/>
        <rFont val="Times New Roman"/>
        <family val="1"/>
      </rPr>
      <t xml:space="preserve">Shpenzimet rrjedhëse </t>
    </r>
  </si>
  <si>
    <t>Pagat dhe meditjet</t>
  </si>
  <si>
    <t xml:space="preserve"> Mallrat dhe  shërbim</t>
  </si>
  <si>
    <t>Shërbime komunale</t>
  </si>
  <si>
    <t>Subvencionet</t>
  </si>
  <si>
    <r>
      <t xml:space="preserve"> </t>
    </r>
    <r>
      <rPr>
        <b/>
        <sz val="11"/>
        <color theme="1"/>
        <rFont val="Times New Roman"/>
        <family val="1"/>
      </rPr>
      <t xml:space="preserve">Shpenzimet Kapitale </t>
    </r>
  </si>
  <si>
    <t>Grantet dhe transferet  qeveritare</t>
  </si>
  <si>
    <t xml:space="preserve">Programet </t>
  </si>
  <si>
    <t xml:space="preserve">Paga/Mëditje </t>
  </si>
  <si>
    <t>Mallra/Shërbime</t>
  </si>
  <si>
    <t>Komunali</t>
  </si>
  <si>
    <t>Subvencione</t>
  </si>
  <si>
    <t>Investime Kapitale</t>
  </si>
  <si>
    <t>Gjithsej</t>
  </si>
  <si>
    <t>Zyra e Kryetarit</t>
  </si>
  <si>
    <t>Zyra e Kuvendit Komunal</t>
  </si>
  <si>
    <t>Administrata dhe Personeli</t>
  </si>
  <si>
    <t>Inspektimet</t>
  </si>
  <si>
    <t>Buxheti dhe financat</t>
  </si>
  <si>
    <t>Infrastruktura Publike</t>
  </si>
  <si>
    <t>Zjarrfikësit dhe Inspektimet</t>
  </si>
  <si>
    <t>Zyra Komunale për Komunitete</t>
  </si>
  <si>
    <t>Bujqësi, Pylltari dhe Zhvillim Rural</t>
  </si>
  <si>
    <t xml:space="preserve">Kadastra dhe Gjeodezia </t>
  </si>
  <si>
    <t>Planifikimi urban dhe mjedisi</t>
  </si>
  <si>
    <t>Shëndetësia</t>
  </si>
  <si>
    <t>Shërbimet sociale</t>
  </si>
  <si>
    <t>Kultura, rinia dhe sporti</t>
  </si>
  <si>
    <t>Arsimi dhe shkenca</t>
  </si>
  <si>
    <t>Çështjet gjinore</t>
  </si>
  <si>
    <t>Tabela 6. Korniza Buxhetore Komunale, në euro</t>
  </si>
  <si>
    <t>Totali</t>
  </si>
  <si>
    <t xml:space="preserve">Bashkëfinancim me donatorë </t>
  </si>
  <si>
    <t>Urbanizmi</t>
  </si>
  <si>
    <t>Bujqesia</t>
  </si>
  <si>
    <t>Shendetësia</t>
  </si>
  <si>
    <t>Administrata</t>
  </si>
  <si>
    <t>Kultura</t>
  </si>
  <si>
    <t>Arsimi</t>
  </si>
  <si>
    <t>Totali :</t>
  </si>
  <si>
    <t>Infrastruktura rrugore</t>
  </si>
  <si>
    <t>Projektet me prioritet për vitin  2026</t>
  </si>
  <si>
    <t>Kodet</t>
  </si>
  <si>
    <t>BURIMET E  TË  HYRAVE</t>
  </si>
  <si>
    <t>1)</t>
  </si>
  <si>
    <t>Drejtoria e Urbanizmit</t>
  </si>
  <si>
    <t>Lejet për ndërtim</t>
  </si>
  <si>
    <t>3)</t>
  </si>
  <si>
    <t>Drejtoria e Inspekcionit</t>
  </si>
  <si>
    <t>Denimet mandatore</t>
  </si>
  <si>
    <t>Komisioni inspektues</t>
  </si>
  <si>
    <t>5)</t>
  </si>
  <si>
    <t>Kadastra</t>
  </si>
  <si>
    <t>Të hyrat nga shërbimet kadastrale</t>
  </si>
  <si>
    <t>6)</t>
  </si>
  <si>
    <t>Administrata e përgjithshme</t>
  </si>
  <si>
    <t>Çertifikatat e lindjës</t>
  </si>
  <si>
    <t>Çertifikatat e kunorzimit</t>
  </si>
  <si>
    <t>Çertifikatat e vdekjës</t>
  </si>
  <si>
    <t>Çertifikatat tjera</t>
  </si>
  <si>
    <t>Të hyrat tjera</t>
  </si>
  <si>
    <t>Taksat administrative</t>
  </si>
  <si>
    <t>7)</t>
  </si>
  <si>
    <t>Drejtoria për Buxhet e Financa</t>
  </si>
  <si>
    <t>Marimanga</t>
  </si>
  <si>
    <t>Taksa për rexhistrimin e automjeteve</t>
  </si>
  <si>
    <t xml:space="preserve">Qiraja për lokalet afariste </t>
  </si>
  <si>
    <t>Qiraja për banesa</t>
  </si>
  <si>
    <t>Shitja e pasurisë</t>
  </si>
  <si>
    <t>Shfrytëzimi i pronës publike</t>
  </si>
  <si>
    <t>Qiraja për treg të hapur</t>
  </si>
  <si>
    <t xml:space="preserve">Tatimi mbi pronë </t>
  </si>
  <si>
    <t>Tatimi në tokë</t>
  </si>
  <si>
    <t>I</t>
  </si>
  <si>
    <t xml:space="preserve"> Totali i administratës komunale</t>
  </si>
  <si>
    <t>Të ardhurat nga arsimi</t>
  </si>
  <si>
    <t>Qerdhet</t>
  </si>
  <si>
    <t>Arsimi fillor</t>
  </si>
  <si>
    <t>Arsimi i mesëm</t>
  </si>
  <si>
    <t>II</t>
  </si>
  <si>
    <t xml:space="preserve">  Totali - arsimi</t>
  </si>
  <si>
    <t>Të ardhurat nga shendetësia</t>
  </si>
  <si>
    <t xml:space="preserve">Shendetësia primare </t>
  </si>
  <si>
    <t>III</t>
  </si>
  <si>
    <t xml:space="preserve"> Totali - shendetësia</t>
  </si>
  <si>
    <t>TOTALI I TË ARDHURAVE VETANAKE TË KOMUNËS ( I + II + III )</t>
  </si>
  <si>
    <t>Ndërtimi i rrugëve e infrastruktures nëntokësore Videje-Polce-Paskalicë-Jagodë-Krushevë e Madhe</t>
  </si>
  <si>
    <t>Projektet me prioritet për vitin  2027</t>
  </si>
  <si>
    <t>Ndërtimi i rrugëve dhe infrastruktures nëntokësore Videje-Polce-Paskalicë-Jagodë-Krushevë e Madhe</t>
  </si>
  <si>
    <t>Ndërtimi i shtigjeve te ecjes dhe infrastrukture rrugore në Gryken e Jarines-Pogragje</t>
  </si>
  <si>
    <t>Gjeodezia</t>
  </si>
  <si>
    <t>Rindërtimi i infrastrukturës mbitokësore me asfalt në Jashanicë, Shtupel, Zllakuqan, Klinë-Videjë etj</t>
  </si>
  <si>
    <t>Vlerësimi 2027</t>
  </si>
  <si>
    <t xml:space="preserve"> Planifikimi - për vitin 2026</t>
  </si>
  <si>
    <t xml:space="preserve"> Planifikimi - për vitin 2027</t>
  </si>
  <si>
    <t>Taksa për ushtrim të veprimtarisë</t>
  </si>
  <si>
    <t>Qendra për Punë Sociale</t>
  </si>
  <si>
    <t>Shërbimet rrezidenciale</t>
  </si>
  <si>
    <t>Emri i projektit</t>
  </si>
  <si>
    <t>Tabela 11: Përqindja sipas gjinisë</t>
  </si>
  <si>
    <t>%</t>
  </si>
  <si>
    <t>Popullata e përgjithshme</t>
  </si>
  <si>
    <t xml:space="preserve">Total Paga/Mëditje </t>
  </si>
  <si>
    <t>TOTALI</t>
  </si>
  <si>
    <t>Buxheti aktual 2025</t>
  </si>
  <si>
    <t>Planifikimi 2026</t>
  </si>
  <si>
    <t>Vlerësimi 2028</t>
  </si>
  <si>
    <t>Tabela 1: Financimi komunal për vitet 2026-2028 sipas burimit</t>
  </si>
  <si>
    <t>2026    (planifikim)</t>
  </si>
  <si>
    <t>2027   (vlerësimet)</t>
  </si>
  <si>
    <t xml:space="preserve">      2028 (vlerësimet)</t>
  </si>
  <si>
    <t>Tabela 3. Planifikimi i të hyrave vetanake të komunës sipas burimeve për periudhën  2026-2028 në euro</t>
  </si>
  <si>
    <t xml:space="preserve"> Planifikimi - për vitin 2028</t>
  </si>
  <si>
    <t>Tabela 7. Shpenzimet komunale sipas kategorive ekonomike dhe programeve - Viti aktual 2025</t>
  </si>
  <si>
    <t>Nr.i punëtorëve</t>
  </si>
  <si>
    <t>Tabela 8. Shpenzimet komunale sipas kategorive ekonomike dhe programeve - Planifikimi 2026</t>
  </si>
  <si>
    <t>Tabela 9. Shpenzimet komunale sipas kategorive ekonomike dhe programeve - Vlerësimi 2027</t>
  </si>
  <si>
    <t>Ndërtimi i infrastruktures nëntokësore dhe mbitokësore në Klinë, rrugën Martirët e Pastaselit, Martirët e Kralanit etj</t>
  </si>
  <si>
    <t>Ndërtimi i segmenteve të rrugës Malë Bashota, Dositej Obradoviq, Bekim Fehmiu, Shaban Sadiku, Heronjtë e Kombit dhe infrastruktures nëntokësore në Klinë-Dersnik-Dollc</t>
  </si>
  <si>
    <t>Ndërtimi i infrastrukturës mbitokësore (Trotuare) dhe infrastruktures nëntokësore në Zajmë-Deiq</t>
  </si>
  <si>
    <t>Ndërtimi i infrastrukturës mbitokësore dhe infrastruktures nëntokësore Poterq- Dugajevë-Drenovc</t>
  </si>
  <si>
    <t>Ndërtimi i infrastrukturës mbitokësore dhe infrastruktures nëntokësore Zllakuqan-Pataqan-Berkove, Krushevë e Vogël (trotuari Klinë-Zllakuqan)</t>
  </si>
  <si>
    <t>Ndërtimi  i infrastrukturës mbitokësore dhe rindërtimi i rrugës Klinë-Shtupel-Kërnicë</t>
  </si>
  <si>
    <t>Ndërtimi i kanalizimit në Shtupel-Kërrnicë-Binxhe-Grapc</t>
  </si>
  <si>
    <t>Ndërtimi  i infrastrukturës mbitokësore dhe infrastruktures nëntokësore Volljakë-Sferke-Qupevë-Dush</t>
  </si>
  <si>
    <t>Ndërtimi  i infrastrukturës mbitokësore dhe nëntokësore Cerovik-Qabiq-Dobërdol</t>
  </si>
  <si>
    <t>Ndërtimi i  infrastruktures nëntokësore dhe mbitokësore në Ranoc-Leskoc</t>
  </si>
  <si>
    <t>Ndërtimi i  infrastruktures nentokesore dhe mbitokësore Siqeve-Ujmire-Shtarice</t>
  </si>
  <si>
    <t>Ndërtimi i infrastrukturës mbitokësore dhe urës në Budisalcë-Rudice</t>
  </si>
  <si>
    <t>Ndërtimi i  infrastruktures nentokesore dhe mbitokësore Gllareve-Rixheve-Stapanice-Zabergje</t>
  </si>
  <si>
    <t>Ndërtimi i  infrastruktures nentokesore dhe mbitokësore Gjurgjevik i Vogel-Klinavc</t>
  </si>
  <si>
    <t>Ndërtimi i  infrastruktures nentokesore dhe mbitokësore ne Grabanice-Bokshiq-Dollove</t>
  </si>
  <si>
    <t>Ndërtimi  i infrastrukturës mbitokësore dhe infrastruktures nëntokësore Gjurgjevik i Madhë - Dush</t>
  </si>
  <si>
    <t>Ndërtimi i shtratit të lumit Klina, (Klinë-Burimi i Jarinës - Pogragjë-Ujmirë), Rregullimi i shtratit të lumit Lumëbardhi i Pejës dhe lumit Drini i Bradhë</t>
  </si>
  <si>
    <t>Ndërtimi i shtigjeve te ecjes dhe infrastrukture rrugore në Gryken e Jarines-Pogragjë</t>
  </si>
  <si>
    <t>Ndërtimi i infrastrukturës mbitokësore dhe nëntokësore në Jashanicë-Jelloc-Resnik</t>
  </si>
  <si>
    <t>Ndërtimi i infrastruktures nëntokësore dhe mbitokësore në Perqevë edhe rrugën "Shpella Azem Bejta-Përqevë"</t>
  </si>
  <si>
    <t>Ndërtimi i infrastruktures mbitokësore dhe nëntokësore në Gremnik-Qupevë e Ulët</t>
  </si>
  <si>
    <t>Ndërtimi i infrastruktures nëntokësore dhe mbitokësore në Qeskovë-Kepuz-Rastoka</t>
  </si>
  <si>
    <t xml:space="preserve">Ndërtimi i rrugës "Bedri Mustafa"                         </t>
  </si>
  <si>
    <t xml:space="preserve">Ndërtimi i rrugës "Shaban Polluzha"                       </t>
  </si>
  <si>
    <t xml:space="preserve">Ndërtimi i rrugës "Vëllezrit Gërvalla"                         </t>
  </si>
  <si>
    <t>Ndërtimi i Urës mbi Lumin Drini i Bardhë në Volljakë</t>
  </si>
  <si>
    <t xml:space="preserve">Ndërtimi i Nënkalimit në Lagjen e Dukagjinit - Klinë          </t>
  </si>
  <si>
    <t>Zgjerimi i sipërfaqeve të gjelbruara (Parqeve) në Këpuz, Shtupel, Zllakuqan, Gremnik, Volljak etj</t>
  </si>
  <si>
    <t>Zgjerimi i rrjetit të ndriçimit publik në Dollc-Dresnik, Jashanicë, Drenovc, Shtupel, Klinë, Leskoc, Gremnik, Qupevë e Ulët, Siqevë, Resnik, Gj.Madh, Dush etj</t>
  </si>
  <si>
    <t>Ndërtimi i impianteve për trajtimin e ujrave të zeza në Ranoc, Radulloc, Shtupel, Shtaricë etj</t>
  </si>
  <si>
    <t>Ndërtimi i rrethojave të vorrezave në Gj.Madh, Volljak, Sferkë, Jashanicë, Siqevë, Gremnik, Zajm, K.e Vogël, Shtupel etj</t>
  </si>
  <si>
    <t>Furnizim me tabela te menqura ne shkolle në Çabiq, Ujmirë, Ismet Rraci, Motrat Qiriazi, Fehmi Agani, Luigj Gurakuqi etj</t>
  </si>
  <si>
    <t>Ndërtimi i nxemjeve qendrore me pompa termike dhe nxemje me kaldaja me pelet në shkolla në Gjimnazin Luigj Gurakuqi, Gremnik, Këpuz, Zllakuqan, Gjurgjevik i Madh, Budisalc, Ujmirë, Drenoc, Volljak, Grabanicë, Jagodë, Shtupel etj</t>
  </si>
  <si>
    <t>Ndriqimi i hapësirave të jashtme në shkollën Ismet Rraci, Motrat Qiriazi, Gjimnazin Luigj Gurakuqi, Zllakuqan, Çerdhja e fëmijëve etj</t>
  </si>
  <si>
    <t>Ndërtimi i fushave sportive dhe parkingjeve në shkolla në Grabanicë, Siqevë, Zllakuqan, Leskoc, Sferkë etj</t>
  </si>
  <si>
    <t>Ndertimi dhe rindertimi i objekteve shendetesore: QKMF, AMF Drenoc, Ujmire, Zllakuqan dhe Gllareve etj</t>
  </si>
  <si>
    <t xml:space="preserve">Ndertimi i shtepise se pleqeve ne Kline </t>
  </si>
  <si>
    <t>Sherbimet Rezidenciale</t>
  </si>
  <si>
    <t>Blerja e veturave zyrtare per nevoja te Administrates Komunale</t>
  </si>
  <si>
    <t>Furnizim me pajisje- aparat për matje gjeodezike</t>
  </si>
  <si>
    <t>Ndërtimi i kanaleve te ujitjes në Rudicë-Stupë-Videjë- Zajm,Potërq-Dollovë, Volljakë-Këpuz etj</t>
  </si>
  <si>
    <t>Ndërtimi i  infrastruktures nëntokësore dhe mbitokësore Siqeve-Ujmire-Shtarice</t>
  </si>
  <si>
    <t>Ndërtimi i  infrastruktures nëntokësore dhe mbitokësore dhe urës në Budisalcë-Rudice</t>
  </si>
  <si>
    <t>Ndërtimi i  infrastruktures nëntokësore dhe mbitokësore Gllareve-Rixheve-Stapanice-Zabergje</t>
  </si>
  <si>
    <t>Ndertimi i  infrastruktures nentokesore dhe mbitokësore ne Grabanice-Bokshiq-Dollove</t>
  </si>
  <si>
    <t>Ndërtimi i  infrastruktures nëntokësore dhe mbitokësore në Përqevë edhe rrugën "Shpella Azem Bejta"-Përqevë</t>
  </si>
  <si>
    <t>Ndërtimi i infrastruktures mbitokësore e nëntokësore  Gremnik-Qupevë e Ulët</t>
  </si>
  <si>
    <t>Ndërtimi i  infrastruktures nëntokësore dhe mbitokësore në Qeskove-Kepuz-Rastoke</t>
  </si>
  <si>
    <t xml:space="preserve">Ndërtimi i rrugës "Bedri Mustafa"                          </t>
  </si>
  <si>
    <t xml:space="preserve">Ndërtimi i Nënkalimit në Lagjen e Dukagjinit - Klinë     </t>
  </si>
  <si>
    <t xml:space="preserve">Ndërtimi i rrugës "Vëllezrit Gërvalla"                        </t>
  </si>
  <si>
    <t>Ndertimi i nxemjeve qendrore me pompa termike dhe nxemje me kaldaja me pelet ne shkolla në Gjimnazin Luigj Gurakuqi, Gremnik, Këpuz, Zllakuqan, Gjurgjevik i Madh, Budisalc, Ujmirë, Drenoc, Volljak, Grabanicë, Jagodë etj</t>
  </si>
  <si>
    <t>Ndërtimi dhe rindertimi i objekteve shendetesore: QKMF, AMF Drenoc, Ujmire, Zllakuqan dhe Gllareve etj</t>
  </si>
  <si>
    <t xml:space="preserve">Ndërtimi i shtepise se pleqeve ne Kline </t>
  </si>
  <si>
    <t>Projektet me prioritet për vitin  2028</t>
  </si>
  <si>
    <t xml:space="preserve">Rindërtimi i rrugëve te Qytetit te Klines me segmente te tyre: S.Rexhepi, M.Daka, M.Haxhaj, L.Palucaj, H.Prishtina, I.Qemajli, F.Bojaj, B.Mustafa, Sh.Sadiku, H.Krasniqi, Vëllezërit Gërvalla etj </t>
  </si>
  <si>
    <t>Ndërtimi i infrastruktures nëntokësore dhe mbitokësore në Klinë, rrugën Haxhi Zeka, etj</t>
  </si>
  <si>
    <t>Ndertimi  i infrastrukturës mbitokësore dhe rindërtimi i rrugës Klinë-Shtupel-Kërnicë</t>
  </si>
  <si>
    <t>Ndertimi i  infrastruktures nentokesore dhe mbitokësore ne Ranoc-Leskoc</t>
  </si>
  <si>
    <t>Ndertimi i  infrastruktures nentokesore dhe mbitokësore Siqeve-Ujmire-Shtarice</t>
  </si>
  <si>
    <t>Ndertimi i infrastrukturës mbitokësore dhe urës në Budisalcë-Rudice</t>
  </si>
  <si>
    <t>Ndertimi i  infrastruktures nentokesore dhe mbitokësore Gllareve-Rixheve-Stapanice-Zabergje</t>
  </si>
  <si>
    <t>Ndertimi i  infrastruktures nentokesore dhe mbitokësore Gjurgjevik i Vogel-Klinavc</t>
  </si>
  <si>
    <t>Ndertimi i shtratit të lumit Klina, (Klinë-Burimi i Jarinës - Pogragjë-Ujmirë), Rregullimi i shtratit të lumit Lumëbardhi i Pejës dhe lumit Drini I Bradhë</t>
  </si>
  <si>
    <t>Ndertimi i infrastruktures nentokesore dhe mbitoksore ne Perqev edhe rrugën "Shpella Azem Bejta"-Përqevë</t>
  </si>
  <si>
    <t>Ndertimi i infrastruktures nentokesore dhe mbitokësore ne Qeskove-Kepuz-Rastoke</t>
  </si>
  <si>
    <t xml:space="preserve">Ndërtimi i Nënkalimit në Lagjen e Dukagjinit - Klinë </t>
  </si>
  <si>
    <t>Ndertimi i nxemjeve qendrore me pompa termike dhe nxemje me kaldaja me pelet ne shkolla në Gjimnazin Luigj Gurakuqi, Gremnik, Këpuz, Zllakuqan, Gjurgjevik I Madh, Budisalc, Ujmirë, Drenoc, Volljak, Grabanicë, Jagodë etj</t>
  </si>
  <si>
    <t>Ndriqimi I hapësirave të jashtme në shkollën Ismet Rraci, Motrat Qiriazi, Gjimnazin Luigj Gurakuqi, Zllakuqan, Çerdhja e fëmijëve etj</t>
  </si>
  <si>
    <t>Ndërtimi I fushave sportive dhe parkingjeve në shkolla në Grabanicë, Siqevë, Zllakuqan, Leskoc, Sferkë etj</t>
  </si>
  <si>
    <t>Korniza afatmesme buxhetore 2026-2028</t>
  </si>
  <si>
    <t>Viti 2026</t>
  </si>
  <si>
    <t>Viti 2027</t>
  </si>
  <si>
    <t>Viti 2028</t>
  </si>
  <si>
    <t>Licenca dhe lejet</t>
  </si>
  <si>
    <t>% te punesuara gra</t>
  </si>
  <si>
    <t>M</t>
  </si>
  <si>
    <t>F</t>
  </si>
  <si>
    <t>Pagat gra</t>
  </si>
  <si>
    <t>Pagat burra</t>
  </si>
  <si>
    <t>Shifrat sipas Regjistrimit të Popullsisë 2024</t>
  </si>
  <si>
    <t>Burra</t>
  </si>
  <si>
    <t>Gra</t>
  </si>
  <si>
    <t>Gjinia</t>
  </si>
  <si>
    <t>Rindërtimi i sheshit të Qytetit të Klinës</t>
  </si>
  <si>
    <t>Ndërtimi i nxemjes qendrore për Qytetin e Klinës</t>
  </si>
  <si>
    <t>Ndërtimi i  infrastruktures nëntokësore dhe mbitokësore Gjurgjevik i Vogël-Klinavc</t>
  </si>
  <si>
    <t>Ndertimi i  infrastruktures nëntokesore dhe mbitokësore në Grabanice-Bokshiq-Dollovë</t>
  </si>
  <si>
    <t>Infrastruktura Rrugore</t>
  </si>
  <si>
    <t>Tabela 10. Shpenzimet komunale sipas kategorive ekonomike dhe programeve - Planifikimi 2028</t>
  </si>
  <si>
    <t>Tabela 13.Paga dhe meditje sipas bazës gjinore, planifikimi për vitin 2026</t>
  </si>
  <si>
    <t>Furnizim me paisje mejksore per diagnostikeper QKMF-Klinë</t>
  </si>
  <si>
    <t>Ndertimi dhe rindertimi i objektit komunal ne Kline</t>
  </si>
  <si>
    <t>Ndertimi dhe Rindertimi i Objektit Sportiv dhe te Kultures ne 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</si>
</sst>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FFFF"/>
      <name val="Times New Roman"/>
      <family val="1"/>
    </font>
    <font>
      <b/>
      <sz val="11"/>
      <color rgb="FFFFFFFF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sz val="10"/>
      <color rgb="FFFFFFFF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943634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945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BA0CD"/>
      </left>
      <right/>
      <top style="medium">
        <color rgb="FF7BA0CD"/>
      </top>
      <bottom style="medium">
        <color rgb="FF7BA0CD"/>
      </bottom>
      <diagonal/>
    </border>
    <border>
      <left style="medium">
        <color rgb="FF7BA0CD"/>
      </left>
      <right/>
      <top style="medium">
        <color rgb="FF7BA0CD"/>
      </top>
      <bottom/>
      <diagonal/>
    </border>
    <border>
      <left style="medium">
        <color rgb="FF7BA0CD"/>
      </left>
      <right/>
      <top/>
      <bottom style="medium">
        <color rgb="FF7BA0CD"/>
      </bottom>
      <diagonal/>
    </border>
    <border>
      <left/>
      <right/>
      <top style="medium">
        <color rgb="FF7BA0CD"/>
      </top>
      <bottom style="medium">
        <color rgb="FF7BA0CD"/>
      </bottom>
      <diagonal/>
    </border>
    <border>
      <left/>
      <right/>
      <top style="medium">
        <color rgb="FF7BA0CD"/>
      </top>
      <bottom/>
      <diagonal/>
    </border>
    <border>
      <left/>
      <right/>
      <top/>
      <bottom style="medium">
        <color rgb="FF7BA0CD"/>
      </bottom>
      <diagonal/>
    </border>
    <border>
      <left/>
      <right style="medium">
        <color rgb="FF7BA0CD"/>
      </right>
      <top style="medium">
        <color rgb="FF7BA0CD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43" fontId="3" fillId="0" borderId="1" xfId="1" applyFont="1" applyBorder="1" applyAlignment="1">
      <alignment vertical="top" wrapText="1"/>
    </xf>
    <xf numFmtId="43" fontId="2" fillId="0" borderId="1" xfId="1" applyFont="1" applyBorder="1" applyAlignment="1">
      <alignment vertical="top" wrapText="1"/>
    </xf>
    <xf numFmtId="43" fontId="0" fillId="0" borderId="0" xfId="0" applyNumberFormat="1"/>
    <xf numFmtId="0" fontId="4" fillId="2" borderId="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4" fontId="5" fillId="2" borderId="7" xfId="0" applyNumberFormat="1" applyFont="1" applyFill="1" applyBorder="1" applyAlignment="1">
      <alignment horizontal="right" wrapText="1"/>
    </xf>
    <xf numFmtId="0" fontId="6" fillId="3" borderId="7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4" fontId="6" fillId="4" borderId="7" xfId="0" applyNumberFormat="1" applyFont="1" applyFill="1" applyBorder="1" applyAlignment="1">
      <alignment horizontal="right" wrapText="1"/>
    </xf>
    <xf numFmtId="0" fontId="8" fillId="5" borderId="7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4" fontId="7" fillId="3" borderId="6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4" fontId="7" fillId="4" borderId="6" xfId="0" applyNumberFormat="1" applyFont="1" applyFill="1" applyBorder="1" applyAlignment="1">
      <alignment wrapText="1"/>
    </xf>
    <xf numFmtId="0" fontId="8" fillId="4" borderId="2" xfId="0" applyFont="1" applyFill="1" applyBorder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8" fillId="5" borderId="3" xfId="0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4" fontId="7" fillId="5" borderId="6" xfId="0" applyNumberFormat="1" applyFont="1" applyFill="1" applyBorder="1" applyAlignment="1">
      <alignment wrapText="1"/>
    </xf>
    <xf numFmtId="4" fontId="9" fillId="5" borderId="6" xfId="0" applyNumberFormat="1" applyFont="1" applyFill="1" applyBorder="1" applyAlignment="1">
      <alignment wrapText="1"/>
    </xf>
    <xf numFmtId="0" fontId="3" fillId="5" borderId="3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4" fontId="6" fillId="4" borderId="6" xfId="0" applyNumberFormat="1" applyFont="1" applyFill="1" applyBorder="1" applyAlignment="1">
      <alignment wrapText="1"/>
    </xf>
    <xf numFmtId="4" fontId="10" fillId="4" borderId="6" xfId="0" applyNumberFormat="1" applyFont="1" applyFill="1" applyBorder="1" applyAlignment="1">
      <alignment wrapText="1"/>
    </xf>
    <xf numFmtId="4" fontId="11" fillId="4" borderId="6" xfId="0" applyNumberFormat="1" applyFont="1" applyFill="1" applyBorder="1" applyAlignment="1">
      <alignment wrapText="1"/>
    </xf>
    <xf numFmtId="0" fontId="12" fillId="2" borderId="4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12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4" fontId="0" fillId="0" borderId="0" xfId="0" applyNumberFormat="1"/>
    <xf numFmtId="0" fontId="13" fillId="6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3" fillId="6" borderId="1" xfId="0" applyFont="1" applyFill="1" applyBorder="1" applyAlignment="1">
      <alignment horizontal="center" wrapText="1"/>
    </xf>
    <xf numFmtId="0" fontId="14" fillId="0" borderId="0" xfId="0" applyFont="1"/>
    <xf numFmtId="43" fontId="7" fillId="0" borderId="0" xfId="1" applyFont="1" applyFill="1"/>
    <xf numFmtId="43" fontId="7" fillId="0" borderId="0" xfId="1" applyFont="1"/>
    <xf numFmtId="0" fontId="7" fillId="0" borderId="0" xfId="0" applyFont="1"/>
    <xf numFmtId="0" fontId="9" fillId="0" borderId="1" xfId="0" applyFont="1" applyBorder="1"/>
    <xf numFmtId="4" fontId="9" fillId="0" borderId="1" xfId="0" applyNumberFormat="1" applyFont="1" applyBorder="1"/>
    <xf numFmtId="43" fontId="7" fillId="0" borderId="13" xfId="1" applyFont="1" applyFill="1" applyBorder="1" applyAlignment="1">
      <alignment horizontal="right"/>
    </xf>
    <xf numFmtId="43" fontId="7" fillId="0" borderId="1" xfId="1" applyFont="1" applyFill="1" applyBorder="1" applyAlignment="1">
      <alignment horizontal="right"/>
    </xf>
    <xf numFmtId="0" fontId="14" fillId="8" borderId="12" xfId="0" applyFont="1" applyFill="1" applyBorder="1" applyAlignment="1">
      <alignment horizontal="right" vertical="center"/>
    </xf>
    <xf numFmtId="0" fontId="14" fillId="8" borderId="1" xfId="0" applyFont="1" applyFill="1" applyBorder="1" applyAlignment="1">
      <alignment vertical="center"/>
    </xf>
    <xf numFmtId="43" fontId="16" fillId="8" borderId="1" xfId="1" applyFont="1" applyFill="1" applyBorder="1"/>
    <xf numFmtId="43" fontId="7" fillId="0" borderId="13" xfId="1" applyFont="1" applyFill="1" applyBorder="1"/>
    <xf numFmtId="43" fontId="7" fillId="0" borderId="1" xfId="1" applyFont="1" applyFill="1" applyBorder="1"/>
    <xf numFmtId="0" fontId="9" fillId="0" borderId="1" xfId="0" applyFont="1" applyBorder="1" applyAlignment="1">
      <alignment wrapText="1"/>
    </xf>
    <xf numFmtId="43" fontId="16" fillId="8" borderId="13" xfId="1" applyFont="1" applyFill="1" applyBorder="1"/>
    <xf numFmtId="0" fontId="16" fillId="0" borderId="1" xfId="0" applyFont="1" applyBorder="1" applyAlignment="1">
      <alignment horizontal="right"/>
    </xf>
    <xf numFmtId="43" fontId="16" fillId="0" borderId="1" xfId="1" applyFont="1" applyFill="1" applyBorder="1"/>
    <xf numFmtId="43" fontId="0" fillId="0" borderId="1" xfId="1" applyFont="1" applyBorder="1"/>
    <xf numFmtId="0" fontId="3" fillId="0" borderId="0" xfId="0" applyFont="1"/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8" borderId="16" xfId="0" applyFont="1" applyFill="1" applyBorder="1" applyAlignment="1">
      <alignment horizontal="center" wrapText="1"/>
    </xf>
    <xf numFmtId="0" fontId="14" fillId="8" borderId="17" xfId="0" applyFont="1" applyFill="1" applyBorder="1" applyAlignment="1">
      <alignment wrapText="1"/>
    </xf>
    <xf numFmtId="4" fontId="14" fillId="8" borderId="17" xfId="0" applyNumberFormat="1" applyFont="1" applyFill="1" applyBorder="1" applyAlignment="1">
      <alignment horizontal="right" wrapText="1"/>
    </xf>
    <xf numFmtId="0" fontId="14" fillId="0" borderId="16" xfId="0" applyFont="1" applyBorder="1" applyAlignment="1">
      <alignment horizontal="center"/>
    </xf>
    <xf numFmtId="0" fontId="9" fillId="0" borderId="17" xfId="0" applyFont="1" applyBorder="1"/>
    <xf numFmtId="4" fontId="9" fillId="0" borderId="17" xfId="0" applyNumberFormat="1" applyFont="1" applyBorder="1" applyAlignment="1">
      <alignment horizontal="right"/>
    </xf>
    <xf numFmtId="0" fontId="14" fillId="8" borderId="16" xfId="0" applyFont="1" applyFill="1" applyBorder="1" applyAlignment="1">
      <alignment horizontal="center"/>
    </xf>
    <xf numFmtId="0" fontId="14" fillId="8" borderId="17" xfId="0" applyFont="1" applyFill="1" applyBorder="1"/>
    <xf numFmtId="4" fontId="14" fillId="8" borderId="17" xfId="0" applyNumberFormat="1" applyFont="1" applyFill="1" applyBorder="1" applyAlignment="1">
      <alignment horizontal="right"/>
    </xf>
    <xf numFmtId="0" fontId="9" fillId="0" borderId="17" xfId="0" applyFont="1" applyBorder="1" applyAlignment="1">
      <alignment wrapText="1"/>
    </xf>
    <xf numFmtId="0" fontId="14" fillId="9" borderId="16" xfId="0" applyFont="1" applyFill="1" applyBorder="1" applyAlignment="1">
      <alignment horizontal="center" wrapText="1"/>
    </xf>
    <xf numFmtId="0" fontId="14" fillId="9" borderId="17" xfId="0" applyFont="1" applyFill="1" applyBorder="1"/>
    <xf numFmtId="4" fontId="14" fillId="9" borderId="17" xfId="0" applyNumberFormat="1" applyFont="1" applyFill="1" applyBorder="1" applyAlignment="1">
      <alignment horizontal="right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/>
    <xf numFmtId="0" fontId="9" fillId="0" borderId="17" xfId="0" applyFont="1" applyBorder="1" applyAlignment="1">
      <alignment horizontal="right"/>
    </xf>
    <xf numFmtId="4" fontId="14" fillId="10" borderId="17" xfId="0" applyNumberFormat="1" applyFont="1" applyFill="1" applyBorder="1" applyAlignment="1">
      <alignment horizontal="right"/>
    </xf>
    <xf numFmtId="0" fontId="14" fillId="0" borderId="12" xfId="0" applyFont="1" applyBorder="1" applyAlignment="1">
      <alignment horizontal="right" vertical="center"/>
    </xf>
    <xf numFmtId="43" fontId="16" fillId="0" borderId="13" xfId="1" applyFont="1" applyFill="1" applyBorder="1"/>
    <xf numFmtId="0" fontId="14" fillId="0" borderId="1" xfId="0" applyFont="1" applyBorder="1" applyAlignment="1">
      <alignment horizontal="left" vertical="top"/>
    </xf>
    <xf numFmtId="43" fontId="9" fillId="0" borderId="1" xfId="1" applyFont="1" applyFill="1" applyBorder="1" applyAlignment="1">
      <alignment wrapText="1"/>
    </xf>
    <xf numFmtId="43" fontId="9" fillId="0" borderId="1" xfId="1" applyFont="1" applyFill="1" applyBorder="1" applyAlignment="1">
      <alignment horizontal="right" wrapText="1"/>
    </xf>
    <xf numFmtId="0" fontId="6" fillId="0" borderId="0" xfId="0" applyFont="1" applyAlignment="1">
      <alignment vertical="center"/>
    </xf>
    <xf numFmtId="0" fontId="3" fillId="0" borderId="16" xfId="0" applyFont="1" applyBorder="1" applyAlignment="1">
      <alignment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11" borderId="20" xfId="0" applyFont="1" applyFill="1" applyBorder="1" applyAlignment="1">
      <alignment horizontal="center" vertical="center" wrapText="1"/>
    </xf>
    <xf numFmtId="43" fontId="20" fillId="0" borderId="1" xfId="1" applyFont="1" applyBorder="1"/>
    <xf numFmtId="43" fontId="15" fillId="0" borderId="1" xfId="1" applyFont="1" applyBorder="1"/>
    <xf numFmtId="0" fontId="19" fillId="0" borderId="1" xfId="0" applyFont="1" applyBorder="1" applyAlignment="1">
      <alignment horizontal="center" vertical="center" wrapText="1"/>
    </xf>
    <xf numFmtId="43" fontId="15" fillId="0" borderId="1" xfId="1" applyFont="1" applyFill="1" applyBorder="1"/>
    <xf numFmtId="0" fontId="19" fillId="11" borderId="20" xfId="0" applyFont="1" applyFill="1" applyBorder="1" applyAlignment="1">
      <alignment vertical="center"/>
    </xf>
    <xf numFmtId="0" fontId="17" fillId="0" borderId="9" xfId="0" applyFont="1" applyBorder="1" applyAlignment="1">
      <alignment wrapText="1"/>
    </xf>
    <xf numFmtId="43" fontId="19" fillId="0" borderId="10" xfId="1" applyFont="1" applyFill="1" applyBorder="1" applyAlignment="1">
      <alignment horizontal="right"/>
    </xf>
    <xf numFmtId="0" fontId="21" fillId="0" borderId="0" xfId="0" applyFont="1"/>
    <xf numFmtId="0" fontId="15" fillId="0" borderId="0" xfId="0" applyFont="1"/>
    <xf numFmtId="0" fontId="17" fillId="0" borderId="11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>
      <alignment horizontal="right" wrapText="1"/>
    </xf>
    <xf numFmtId="43" fontId="2" fillId="0" borderId="1" xfId="1" applyFont="1" applyBorder="1" applyAlignment="1">
      <alignment horizontal="right" wrapText="1"/>
    </xf>
    <xf numFmtId="0" fontId="17" fillId="0" borderId="0" xfId="0" applyFont="1" applyAlignment="1">
      <alignment wrapText="1"/>
    </xf>
    <xf numFmtId="0" fontId="16" fillId="0" borderId="0" xfId="0" applyFont="1"/>
    <xf numFmtId="0" fontId="16" fillId="0" borderId="1" xfId="0" applyFont="1" applyBorder="1"/>
    <xf numFmtId="43" fontId="16" fillId="0" borderId="1" xfId="1" applyFont="1" applyFill="1" applyBorder="1" applyAlignment="1">
      <alignment horizontal="center"/>
    </xf>
    <xf numFmtId="49" fontId="16" fillId="0" borderId="1" xfId="1" applyNumberFormat="1" applyFont="1" applyBorder="1" applyAlignment="1">
      <alignment horizontal="center"/>
    </xf>
    <xf numFmtId="0" fontId="9" fillId="0" borderId="12" xfId="0" applyFont="1" applyBorder="1" applyAlignment="1">
      <alignment horizontal="right" vertical="center" wrapText="1"/>
    </xf>
    <xf numFmtId="0" fontId="7" fillId="0" borderId="12" xfId="0" applyFont="1" applyBorder="1" applyAlignment="1">
      <alignment wrapText="1"/>
    </xf>
    <xf numFmtId="0" fontId="14" fillId="8" borderId="12" xfId="0" applyFont="1" applyFill="1" applyBorder="1" applyAlignment="1">
      <alignment horizontal="right" vertical="center" wrapText="1"/>
    </xf>
    <xf numFmtId="0" fontId="14" fillId="8" borderId="1" xfId="0" applyFont="1" applyFill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9" fillId="0" borderId="12" xfId="0" applyFont="1" applyBorder="1" applyAlignment="1">
      <alignment vertical="center" wrapText="1"/>
    </xf>
    <xf numFmtId="0" fontId="22" fillId="0" borderId="0" xfId="0" applyFont="1"/>
    <xf numFmtId="0" fontId="22" fillId="0" borderId="1" xfId="0" applyFont="1" applyBorder="1" applyAlignment="1">
      <alignment wrapText="1"/>
    </xf>
    <xf numFmtId="0" fontId="9" fillId="0" borderId="12" xfId="0" applyFont="1" applyBorder="1"/>
    <xf numFmtId="0" fontId="14" fillId="8" borderId="12" xfId="0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" fontId="14" fillId="0" borderId="1" xfId="0" applyNumberFormat="1" applyFont="1" applyBorder="1"/>
    <xf numFmtId="49" fontId="2" fillId="0" borderId="1" xfId="1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Fill="1" applyBorder="1" applyAlignment="1">
      <alignment horizontal="center"/>
    </xf>
    <xf numFmtId="43" fontId="7" fillId="7" borderId="13" xfId="1" applyFont="1" applyFill="1" applyBorder="1"/>
    <xf numFmtId="0" fontId="14" fillId="0" borderId="1" xfId="0" applyFont="1" applyBorder="1" applyAlignment="1">
      <alignment horizontal="right" vertical="top"/>
    </xf>
    <xf numFmtId="2" fontId="14" fillId="12" borderId="1" xfId="0" applyNumberFormat="1" applyFont="1" applyFill="1" applyBorder="1" applyAlignment="1">
      <alignment wrapText="1"/>
    </xf>
    <xf numFmtId="0" fontId="14" fillId="8" borderId="1" xfId="0" applyFont="1" applyFill="1" applyBorder="1" applyAlignment="1">
      <alignment vertical="top" wrapText="1"/>
    </xf>
    <xf numFmtId="43" fontId="9" fillId="8" borderId="1" xfId="1" applyFont="1" applyFill="1" applyBorder="1" applyAlignment="1">
      <alignment horizontal="right" wrapText="1"/>
    </xf>
    <xf numFmtId="43" fontId="21" fillId="0" borderId="0" xfId="0" applyNumberFormat="1" applyFont="1"/>
    <xf numFmtId="0" fontId="14" fillId="0" borderId="0" xfId="0" applyFont="1" applyAlignment="1">
      <alignment vertical="top" wrapText="1"/>
    </xf>
    <xf numFmtId="43" fontId="0" fillId="0" borderId="1" xfId="1" applyFont="1" applyFill="1" applyBorder="1"/>
    <xf numFmtId="4" fontId="9" fillId="0" borderId="0" xfId="0" applyNumberFormat="1" applyFont="1"/>
    <xf numFmtId="0" fontId="14" fillId="8" borderId="1" xfId="0" applyFont="1" applyFill="1" applyBorder="1" applyAlignment="1">
      <alignment wrapText="1"/>
    </xf>
    <xf numFmtId="2" fontId="14" fillId="8" borderId="1" xfId="0" applyNumberFormat="1" applyFont="1" applyFill="1" applyBorder="1" applyAlignment="1">
      <alignment wrapText="1"/>
    </xf>
    <xf numFmtId="43" fontId="0" fillId="8" borderId="1" xfId="1" applyFont="1" applyFill="1" applyBorder="1"/>
    <xf numFmtId="3" fontId="0" fillId="0" borderId="0" xfId="0" applyNumberFormat="1"/>
    <xf numFmtId="43" fontId="2" fillId="0" borderId="0" xfId="1" applyFont="1" applyFill="1" applyBorder="1" applyAlignment="1">
      <alignment horizontal="right" wrapText="1"/>
    </xf>
    <xf numFmtId="0" fontId="14" fillId="10" borderId="18" xfId="0" applyFont="1" applyFill="1" applyBorder="1" applyAlignment="1">
      <alignment horizontal="center" wrapText="1"/>
    </xf>
    <xf numFmtId="0" fontId="14" fillId="10" borderId="1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17" fillId="0" borderId="11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3" fillId="6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11" borderId="21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12" borderId="1" xfId="0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Planifikimi</a:t>
            </a:r>
            <a:r>
              <a:rPr lang="en-US" baseline="0"/>
              <a:t> i të hyrave vetanake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'Tabela 3.'!$A$43</c:f>
              <c:strCache>
                <c:ptCount val="1"/>
                <c:pt idx="0">
                  <c:v>Viti 2026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'Tabela 3.'!$B$43</c:f>
              <c:numCache>
                <c:formatCode>#,##0.00</c:formatCode>
                <c:ptCount val="1"/>
                <c:pt idx="0">
                  <c:v>1551784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D-4B84-B736-64B96A46E1DF}"/>
            </c:ext>
          </c:extLst>
        </c:ser>
        <c:ser>
          <c:idx val="1"/>
          <c:order val="1"/>
          <c:tx>
            <c:strRef>
              <c:f>'Tabela 3.'!$A$44</c:f>
              <c:strCache>
                <c:ptCount val="1"/>
                <c:pt idx="0">
                  <c:v>Viti 2027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'Tabela 3.'!$B$44</c:f>
              <c:numCache>
                <c:formatCode>#,##0.00</c:formatCode>
                <c:ptCount val="1"/>
                <c:pt idx="0">
                  <c:v>1662711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D-4B84-B736-64B96A46E1DF}"/>
            </c:ext>
          </c:extLst>
        </c:ser>
        <c:ser>
          <c:idx val="2"/>
          <c:order val="2"/>
          <c:tx>
            <c:strRef>
              <c:f>'Tabela 3.'!$A$45</c:f>
              <c:strCache>
                <c:ptCount val="1"/>
                <c:pt idx="0">
                  <c:v>Viti 2028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'Tabela 3.'!$B$45</c:f>
              <c:numCache>
                <c:formatCode>#,##0.00</c:formatCode>
                <c:ptCount val="1"/>
                <c:pt idx="0">
                  <c:v>1669206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BD-4B84-B736-64B96A46E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4102608"/>
        <c:axId val="1564100688"/>
      </c:barChart>
      <c:valAx>
        <c:axId val="15641006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1564102608"/>
        <c:crosses val="autoZero"/>
        <c:crossBetween val="between"/>
      </c:valAx>
      <c:catAx>
        <c:axId val="1564102608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1006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baseline="0">
                <a:solidFill>
                  <a:sysClr val="windowText" lastClr="000000"/>
                </a:solidFill>
              </a:rPr>
              <a:t>Shpenzimet komunale sipas kategorive ekonomike për vitin 2026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D-4321-9EF9-19FC684B61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D-4321-9EF9-19FC684B61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AD-4321-9EF9-19FC684B61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AD-4321-9EF9-19FC684B612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AD-4321-9EF9-19FC684B61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 6.'!$C$16:$C$20</c:f>
              <c:strCache>
                <c:ptCount val="5"/>
                <c:pt idx="0">
                  <c:v>Pagat dhe meditjet</c:v>
                </c:pt>
                <c:pt idx="1">
                  <c:v> Mallrat dhe  shërbim</c:v>
                </c:pt>
                <c:pt idx="2">
                  <c:v>Shërbime komunale</c:v>
                </c:pt>
                <c:pt idx="3">
                  <c:v>Subvencionet</c:v>
                </c:pt>
                <c:pt idx="4">
                  <c:v> Shpenzimet Kapitale </c:v>
                </c:pt>
              </c:strCache>
            </c:strRef>
          </c:cat>
          <c:val>
            <c:numRef>
              <c:f>'Tabela 6.'!$D$16:$D$20</c:f>
              <c:numCache>
                <c:formatCode>#,##0.00</c:formatCode>
                <c:ptCount val="5"/>
                <c:pt idx="0">
                  <c:v>9567100</c:v>
                </c:pt>
                <c:pt idx="1">
                  <c:v>1600000</c:v>
                </c:pt>
                <c:pt idx="2">
                  <c:v>370000</c:v>
                </c:pt>
                <c:pt idx="3">
                  <c:v>800000</c:v>
                </c:pt>
                <c:pt idx="4">
                  <c:v>4001798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C-4E9B-818D-260C6004AB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Paga dhe meditje sipas bazës gjinore, planifikimi për vitin 2026</a:t>
            </a:r>
          </a:p>
        </c:rich>
      </c:tx>
      <c:layout>
        <c:manualLayout>
          <c:xMode val="edge"/>
          <c:yMode val="edge"/>
          <c:x val="0.11703382416181028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'Tabela 13.'!$A$25:$A$26</c:f>
              <c:strCache>
                <c:ptCount val="2"/>
                <c:pt idx="0">
                  <c:v>Pagat burra</c:v>
                </c:pt>
                <c:pt idx="1">
                  <c:v>Pagat gra</c:v>
                </c:pt>
              </c:strCache>
            </c:strRef>
          </c:cat>
          <c:val>
            <c:numRef>
              <c:f>'Tabela 13.'!$F$25:$F$26</c:f>
              <c:numCache>
                <c:formatCode>_(* #,##0.00_);_(* \(#,##0.00\);_(* "-"??_);_(@_)</c:formatCode>
                <c:ptCount val="2"/>
                <c:pt idx="0">
                  <c:v>5053136.5327000003</c:v>
                </c:pt>
                <c:pt idx="1">
                  <c:v>4513963.4751000004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3-41BE-B110-6A253B07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111689616"/>
        <c:axId val="1111707648"/>
      </c:barChart>
      <c:valAx>
        <c:axId val="1111707648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none"/>
        <c:minorTickMark val="none"/>
        <c:tickLblPos val="nextTo"/>
        <c:crossAx val="1111689616"/>
        <c:crosses val="autoZero"/>
        <c:crossBetween val="between"/>
      </c:valAx>
      <c:catAx>
        <c:axId val="111168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1707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Shifrat sipas Regjistrimit të Popullsisë 2024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4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US" sz="144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/>
            </a:rPr>
            <a:t>Shifrat sipas Regjistrimit të Popullsisë 2024</a:t>
          </a:r>
        </a:p>
      </cx:txPr>
    </cx:title>
    <cx:plotArea>
      <cx:plotAreaRegion>
        <cx:series layoutId="sunburst" uniqueId="{E40D0076-7016-4C74-AB71-27C3B0842A25}">
          <cx:tx>
            <cx:txData>
              <cx:f>_xlchart.v1.1</cx:f>
              <cx:v>Shifrat sipas Regjistrimit të Popullsisë 2024</cx:v>
            </cx:txData>
          </cx:tx>
          <cx:dataLabels>
            <cx:visibility seriesName="0" categoryName="1" value="1"/>
          </cx:dataLabels>
          <cx:dataId val="0"/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163830</xdr:rowOff>
    </xdr:from>
    <xdr:to>
      <xdr:col>3</xdr:col>
      <xdr:colOff>746760</xdr:colOff>
      <xdr:row>55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FC0990-635F-091D-11CE-05512EB5F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13</xdr:row>
      <xdr:rowOff>171450</xdr:rowOff>
    </xdr:from>
    <xdr:to>
      <xdr:col>5</xdr:col>
      <xdr:colOff>739140</xdr:colOff>
      <xdr:row>28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38AC0D-6F20-F78C-93DF-49D3556ED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7</xdr:row>
      <xdr:rowOff>3810</xdr:rowOff>
    </xdr:from>
    <xdr:to>
      <xdr:col>2</xdr:col>
      <xdr:colOff>1310640</xdr:colOff>
      <xdr:row>22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197DC8B3-23DD-3624-C31A-527B31A32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53340</xdr:rowOff>
    </xdr:from>
    <xdr:to>
      <xdr:col>6</xdr:col>
      <xdr:colOff>899160</xdr:colOff>
      <xdr:row>38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7B0AF6-80F5-46E7-8A98-5F0617DCB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/>
  </sheetViews>
  <sheetFormatPr defaultRowHeight="15" x14ac:dyDescent="0.25"/>
  <cols>
    <col min="1" max="1" width="22.5703125" customWidth="1"/>
    <col min="2" max="2" width="16.5703125" customWidth="1"/>
    <col min="3" max="3" width="16" customWidth="1"/>
    <col min="4" max="4" width="16.5703125" customWidth="1"/>
    <col min="5" max="5" width="16.85546875" customWidth="1"/>
    <col min="7" max="7" width="13.42578125" customWidth="1"/>
    <col min="8" max="8" width="11.140625" bestFit="1" customWidth="1"/>
  </cols>
  <sheetData>
    <row r="1" spans="1:8" ht="33" customHeight="1" x14ac:dyDescent="0.25">
      <c r="A1" s="66" t="s">
        <v>117</v>
      </c>
      <c r="B1" s="66"/>
      <c r="C1" s="66"/>
      <c r="D1" s="66"/>
      <c r="E1" s="66"/>
    </row>
    <row r="2" spans="1:8" ht="31.5" x14ac:dyDescent="0.25">
      <c r="A2" s="111" t="s">
        <v>197</v>
      </c>
      <c r="B2" s="112" t="s">
        <v>114</v>
      </c>
      <c r="C2" s="112" t="s">
        <v>115</v>
      </c>
      <c r="D2" s="112" t="s">
        <v>102</v>
      </c>
      <c r="E2" s="112" t="s">
        <v>116</v>
      </c>
    </row>
    <row r="3" spans="1:8" ht="27" customHeight="1" x14ac:dyDescent="0.25">
      <c r="A3" s="1" t="s">
        <v>0</v>
      </c>
      <c r="B3" s="114">
        <v>6571819</v>
      </c>
      <c r="C3" s="114">
        <v>6571819</v>
      </c>
      <c r="D3" s="113">
        <v>6960367.4000000004</v>
      </c>
      <c r="E3" s="113">
        <v>7513860</v>
      </c>
    </row>
    <row r="4" spans="1:8" ht="15.75" x14ac:dyDescent="0.25">
      <c r="A4" s="1" t="s">
        <v>1</v>
      </c>
      <c r="B4" s="114">
        <v>5953349</v>
      </c>
      <c r="C4" s="114">
        <v>6180993</v>
      </c>
      <c r="D4" s="113">
        <v>6366422.4000000004</v>
      </c>
      <c r="E4" s="113">
        <v>6557415</v>
      </c>
      <c r="G4" s="3"/>
    </row>
    <row r="5" spans="1:8" ht="33" customHeight="1" x14ac:dyDescent="0.25">
      <c r="A5" s="1" t="s">
        <v>2</v>
      </c>
      <c r="B5" s="114">
        <v>1897981</v>
      </c>
      <c r="C5" s="114">
        <v>1884302</v>
      </c>
      <c r="D5" s="113">
        <v>1940831.2</v>
      </c>
      <c r="E5" s="113">
        <v>1999056</v>
      </c>
      <c r="G5" s="3"/>
      <c r="H5" s="3"/>
    </row>
    <row r="6" spans="1:8" ht="27" customHeight="1" x14ac:dyDescent="0.25">
      <c r="A6" s="1" t="s">
        <v>3</v>
      </c>
      <c r="B6" s="114">
        <v>1495504</v>
      </c>
      <c r="C6" s="114">
        <v>1551784</v>
      </c>
      <c r="D6" s="113">
        <v>1662711</v>
      </c>
      <c r="E6" s="113">
        <v>1669206</v>
      </c>
      <c r="G6" s="3"/>
      <c r="H6" s="3"/>
    </row>
    <row r="7" spans="1:8" ht="31.5" x14ac:dyDescent="0.25">
      <c r="A7" s="1" t="s">
        <v>4</v>
      </c>
      <c r="B7" s="114">
        <v>250000</v>
      </c>
      <c r="C7" s="114">
        <v>150000</v>
      </c>
      <c r="D7" s="113">
        <v>200000</v>
      </c>
      <c r="E7" s="113">
        <v>200000</v>
      </c>
      <c r="G7" s="3"/>
      <c r="H7" s="3"/>
    </row>
    <row r="8" spans="1:8" ht="30.6" customHeight="1" x14ac:dyDescent="0.25">
      <c r="A8" s="2" t="s">
        <v>5</v>
      </c>
      <c r="B8" s="115">
        <f>SUM(B3:B7)</f>
        <v>16168653</v>
      </c>
      <c r="C8" s="115">
        <f>SUM(C3:C7)</f>
        <v>16338898</v>
      </c>
      <c r="D8" s="115">
        <f>SUM(D3:D7)</f>
        <v>17130332</v>
      </c>
      <c r="E8" s="115">
        <f>SUM(E3:E7)</f>
        <v>17939537</v>
      </c>
      <c r="G8" s="149"/>
    </row>
    <row r="9" spans="1:8" x14ac:dyDescent="0.25">
      <c r="C9" s="3"/>
      <c r="G9" s="3"/>
    </row>
    <row r="10" spans="1:8" x14ac:dyDescent="0.25">
      <c r="C10" s="3"/>
      <c r="D10" s="3"/>
      <c r="E10" s="3"/>
    </row>
    <row r="11" spans="1:8" x14ac:dyDescent="0.25">
      <c r="C11" s="3"/>
      <c r="D11" s="3"/>
      <c r="E11" s="3"/>
    </row>
    <row r="16" spans="1:8" x14ac:dyDescent="0.25">
      <c r="C16" s="3"/>
      <c r="D16" s="3"/>
      <c r="E16" s="3"/>
    </row>
  </sheetData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Normal="100" workbookViewId="0">
      <selection activeCell="B1" sqref="B1:C1"/>
    </sheetView>
  </sheetViews>
  <sheetFormatPr defaultRowHeight="15" x14ac:dyDescent="0.25"/>
  <cols>
    <col min="1" max="1" width="2.7109375" customWidth="1"/>
    <col min="2" max="2" width="59" customWidth="1"/>
    <col min="3" max="3" width="12.85546875" customWidth="1"/>
    <col min="4" max="4" width="13.7109375" customWidth="1"/>
    <col min="5" max="5" width="12.5703125" customWidth="1"/>
    <col min="6" max="6" width="16" customWidth="1"/>
  </cols>
  <sheetData>
    <row r="1" spans="1:5" ht="15.75" x14ac:dyDescent="0.25">
      <c r="A1" s="50"/>
      <c r="B1" s="158" t="s">
        <v>181</v>
      </c>
      <c r="C1" s="159"/>
      <c r="D1" s="110"/>
      <c r="E1" s="49"/>
    </row>
    <row r="2" spans="1:5" ht="15.75" x14ac:dyDescent="0.25">
      <c r="A2" s="133"/>
      <c r="B2" s="134" t="s">
        <v>108</v>
      </c>
      <c r="C2" s="135" t="s">
        <v>41</v>
      </c>
      <c r="D2" s="133">
        <v>10</v>
      </c>
      <c r="E2" s="133">
        <v>21</v>
      </c>
    </row>
    <row r="3" spans="1:5" ht="39" x14ac:dyDescent="0.25">
      <c r="A3" s="121">
        <v>1</v>
      </c>
      <c r="B3" s="61" t="s">
        <v>182</v>
      </c>
      <c r="C3" s="53">
        <f>D3+E3</f>
        <v>53000</v>
      </c>
      <c r="D3" s="136">
        <v>53000</v>
      </c>
      <c r="E3" s="136"/>
    </row>
    <row r="4" spans="1:5" ht="26.25" x14ac:dyDescent="0.25">
      <c r="A4" s="121">
        <v>2</v>
      </c>
      <c r="B4" s="61" t="s">
        <v>127</v>
      </c>
      <c r="C4" s="53">
        <f t="shared" ref="C4:C35" si="0">D4+E4</f>
        <v>0</v>
      </c>
      <c r="D4" s="59">
        <v>0</v>
      </c>
      <c r="E4" s="59">
        <v>0</v>
      </c>
    </row>
    <row r="5" spans="1:5" x14ac:dyDescent="0.25">
      <c r="A5" s="121">
        <v>3</v>
      </c>
      <c r="B5" s="61" t="s">
        <v>42</v>
      </c>
      <c r="C5" s="53">
        <f t="shared" si="0"/>
        <v>986527</v>
      </c>
      <c r="D5" s="59">
        <v>680000</v>
      </c>
      <c r="E5" s="59">
        <v>306527</v>
      </c>
    </row>
    <row r="6" spans="1:5" ht="26.25" x14ac:dyDescent="0.25">
      <c r="A6" s="121">
        <v>4</v>
      </c>
      <c r="B6" s="61" t="s">
        <v>96</v>
      </c>
      <c r="C6" s="53">
        <f t="shared" si="0"/>
        <v>50000</v>
      </c>
      <c r="D6" s="59">
        <v>30000</v>
      </c>
      <c r="E6" s="59">
        <v>20000</v>
      </c>
    </row>
    <row r="7" spans="1:5" ht="39" x14ac:dyDescent="0.25">
      <c r="A7" s="121">
        <v>5</v>
      </c>
      <c r="B7" s="61" t="s">
        <v>128</v>
      </c>
      <c r="C7" s="53">
        <f t="shared" si="0"/>
        <v>720000</v>
      </c>
      <c r="D7" s="59">
        <v>520000</v>
      </c>
      <c r="E7" s="59">
        <v>200000</v>
      </c>
    </row>
    <row r="8" spans="1:5" ht="26.25" x14ac:dyDescent="0.25">
      <c r="A8" s="121">
        <v>6</v>
      </c>
      <c r="B8" s="61" t="s">
        <v>129</v>
      </c>
      <c r="C8" s="53">
        <f t="shared" si="0"/>
        <v>80000</v>
      </c>
      <c r="D8" s="59">
        <v>60000</v>
      </c>
      <c r="E8" s="59">
        <v>20000</v>
      </c>
    </row>
    <row r="9" spans="1:5" ht="26.25" x14ac:dyDescent="0.25">
      <c r="A9" s="121">
        <v>7</v>
      </c>
      <c r="B9" s="61" t="s">
        <v>130</v>
      </c>
      <c r="C9" s="53">
        <f t="shared" si="0"/>
        <v>60000</v>
      </c>
      <c r="D9" s="59">
        <v>40000</v>
      </c>
      <c r="E9" s="59">
        <v>20000</v>
      </c>
    </row>
    <row r="10" spans="1:5" ht="28.9" customHeight="1" x14ac:dyDescent="0.25">
      <c r="A10" s="121">
        <v>8</v>
      </c>
      <c r="B10" s="61" t="s">
        <v>131</v>
      </c>
      <c r="C10" s="53">
        <f t="shared" si="0"/>
        <v>90000</v>
      </c>
      <c r="D10" s="59">
        <v>60000</v>
      </c>
      <c r="E10" s="59">
        <v>30000</v>
      </c>
    </row>
    <row r="11" spans="1:5" ht="26.25" x14ac:dyDescent="0.25">
      <c r="A11" s="121">
        <v>9</v>
      </c>
      <c r="B11" s="61" t="s">
        <v>184</v>
      </c>
      <c r="C11" s="53">
        <f t="shared" si="0"/>
        <v>80000</v>
      </c>
      <c r="D11" s="59">
        <v>60000</v>
      </c>
      <c r="E11" s="59">
        <v>20000</v>
      </c>
    </row>
    <row r="12" spans="1:5" ht="18" customHeight="1" x14ac:dyDescent="0.25">
      <c r="A12" s="121">
        <v>10</v>
      </c>
      <c r="B12" s="61" t="s">
        <v>133</v>
      </c>
      <c r="C12" s="53">
        <f t="shared" si="0"/>
        <v>10000</v>
      </c>
      <c r="D12" s="59">
        <v>0</v>
      </c>
      <c r="E12" s="59">
        <v>10000</v>
      </c>
    </row>
    <row r="13" spans="1:5" ht="26.25" x14ac:dyDescent="0.25">
      <c r="A13" s="121">
        <v>11</v>
      </c>
      <c r="B13" s="61" t="s">
        <v>134</v>
      </c>
      <c r="C13" s="53">
        <f t="shared" si="0"/>
        <v>90000</v>
      </c>
      <c r="D13" s="59">
        <v>60000</v>
      </c>
      <c r="E13" s="59">
        <v>30000</v>
      </c>
    </row>
    <row r="14" spans="1:5" ht="26.25" x14ac:dyDescent="0.25">
      <c r="A14" s="121">
        <v>12</v>
      </c>
      <c r="B14" s="61" t="s">
        <v>135</v>
      </c>
      <c r="C14" s="53">
        <f t="shared" si="0"/>
        <v>80000</v>
      </c>
      <c r="D14" s="59">
        <v>60000</v>
      </c>
      <c r="E14" s="59">
        <v>20000</v>
      </c>
    </row>
    <row r="15" spans="1:5" ht="14.45" customHeight="1" x14ac:dyDescent="0.25">
      <c r="A15" s="121">
        <v>13</v>
      </c>
      <c r="B15" s="61" t="s">
        <v>185</v>
      </c>
      <c r="C15" s="53">
        <f t="shared" si="0"/>
        <v>70000</v>
      </c>
      <c r="D15" s="59">
        <v>70000</v>
      </c>
      <c r="E15" s="59">
        <v>0</v>
      </c>
    </row>
    <row r="16" spans="1:5" ht="26.25" x14ac:dyDescent="0.25">
      <c r="A16" s="121">
        <v>14</v>
      </c>
      <c r="B16" s="122" t="s">
        <v>186</v>
      </c>
      <c r="C16" s="53">
        <f t="shared" si="0"/>
        <v>60000</v>
      </c>
      <c r="D16" s="59">
        <v>50000</v>
      </c>
      <c r="E16" s="59">
        <v>10000</v>
      </c>
    </row>
    <row r="17" spans="1:5" x14ac:dyDescent="0.25">
      <c r="A17" s="121">
        <v>15</v>
      </c>
      <c r="B17" s="61" t="s">
        <v>187</v>
      </c>
      <c r="C17" s="53">
        <f t="shared" si="0"/>
        <v>40000</v>
      </c>
      <c r="D17" s="59">
        <v>40000</v>
      </c>
      <c r="E17" s="59">
        <v>0</v>
      </c>
    </row>
    <row r="18" spans="1:5" ht="26.25" x14ac:dyDescent="0.25">
      <c r="A18" s="121">
        <v>16</v>
      </c>
      <c r="B18" s="122" t="s">
        <v>188</v>
      </c>
      <c r="C18" s="53">
        <f t="shared" si="0"/>
        <v>90000</v>
      </c>
      <c r="D18" s="59">
        <v>70000</v>
      </c>
      <c r="E18" s="59">
        <v>20000</v>
      </c>
    </row>
    <row r="19" spans="1:5" ht="26.25" x14ac:dyDescent="0.25">
      <c r="A19" s="121">
        <v>17</v>
      </c>
      <c r="B19" s="122" t="s">
        <v>189</v>
      </c>
      <c r="C19" s="53">
        <f t="shared" si="0"/>
        <v>30000</v>
      </c>
      <c r="D19" s="59">
        <v>30000</v>
      </c>
      <c r="E19" s="59">
        <v>0</v>
      </c>
    </row>
    <row r="20" spans="1:5" ht="26.25" x14ac:dyDescent="0.25">
      <c r="A20" s="121">
        <v>18</v>
      </c>
      <c r="B20" s="122" t="s">
        <v>171</v>
      </c>
      <c r="C20" s="53">
        <f t="shared" si="0"/>
        <v>80000</v>
      </c>
      <c r="D20" s="59">
        <v>50000</v>
      </c>
      <c r="E20" s="59">
        <v>30000</v>
      </c>
    </row>
    <row r="21" spans="1:5" ht="26.25" x14ac:dyDescent="0.25">
      <c r="A21" s="121">
        <v>19</v>
      </c>
      <c r="B21" s="61" t="s">
        <v>142</v>
      </c>
      <c r="C21" s="53">
        <f t="shared" si="0"/>
        <v>30000</v>
      </c>
      <c r="D21" s="59">
        <v>30000</v>
      </c>
      <c r="E21" s="59"/>
    </row>
    <row r="22" spans="1:5" ht="26.25" x14ac:dyDescent="0.25">
      <c r="A22" s="121">
        <v>20</v>
      </c>
      <c r="B22" s="61" t="s">
        <v>190</v>
      </c>
      <c r="C22" s="53">
        <f t="shared" si="0"/>
        <v>250000</v>
      </c>
      <c r="D22" s="54">
        <v>200000</v>
      </c>
      <c r="E22" s="55">
        <v>50000</v>
      </c>
    </row>
    <row r="23" spans="1:5" ht="26.25" x14ac:dyDescent="0.25">
      <c r="A23" s="121">
        <v>21</v>
      </c>
      <c r="B23" s="61" t="s">
        <v>99</v>
      </c>
      <c r="C23" s="53">
        <f t="shared" si="0"/>
        <v>35000</v>
      </c>
      <c r="D23" s="59">
        <v>20000</v>
      </c>
      <c r="E23" s="59">
        <v>15000</v>
      </c>
    </row>
    <row r="24" spans="1:5" ht="26.25" x14ac:dyDescent="0.25">
      <c r="A24" s="121">
        <v>22</v>
      </c>
      <c r="B24" s="61" t="s">
        <v>145</v>
      </c>
      <c r="C24" s="53">
        <f t="shared" si="0"/>
        <v>80000</v>
      </c>
      <c r="D24" s="59">
        <v>50000</v>
      </c>
      <c r="E24" s="59">
        <v>30000</v>
      </c>
    </row>
    <row r="25" spans="1:5" ht="26.25" x14ac:dyDescent="0.25">
      <c r="A25" s="121">
        <v>23</v>
      </c>
      <c r="B25" s="122" t="s">
        <v>191</v>
      </c>
      <c r="C25" s="53">
        <f t="shared" si="0"/>
        <v>150000</v>
      </c>
      <c r="D25" s="59">
        <v>120000</v>
      </c>
      <c r="E25" s="59">
        <v>30000</v>
      </c>
    </row>
    <row r="26" spans="1:5" ht="26.25" x14ac:dyDescent="0.25">
      <c r="A26" s="121">
        <v>24</v>
      </c>
      <c r="B26" s="61" t="s">
        <v>147</v>
      </c>
      <c r="C26" s="53">
        <f t="shared" si="0"/>
        <v>50000</v>
      </c>
      <c r="D26" s="59">
        <v>30000</v>
      </c>
      <c r="E26" s="59">
        <v>20000</v>
      </c>
    </row>
    <row r="27" spans="1:5" ht="26.25" x14ac:dyDescent="0.25">
      <c r="A27" s="121">
        <v>25</v>
      </c>
      <c r="B27" s="122" t="s">
        <v>192</v>
      </c>
      <c r="C27" s="53">
        <f t="shared" si="0"/>
        <v>50000</v>
      </c>
      <c r="D27" s="59">
        <v>50000</v>
      </c>
      <c r="E27" s="59">
        <v>0</v>
      </c>
    </row>
    <row r="28" spans="1:5" x14ac:dyDescent="0.25">
      <c r="A28" s="121">
        <v>26</v>
      </c>
      <c r="B28" s="122" t="s">
        <v>152</v>
      </c>
      <c r="C28" s="53">
        <f t="shared" si="0"/>
        <v>100000</v>
      </c>
      <c r="D28" s="59">
        <v>70000</v>
      </c>
      <c r="E28" s="59">
        <v>30000</v>
      </c>
    </row>
    <row r="29" spans="1:5" x14ac:dyDescent="0.25">
      <c r="A29" s="121">
        <v>27</v>
      </c>
      <c r="B29" s="122" t="s">
        <v>175</v>
      </c>
      <c r="C29" s="53">
        <f t="shared" si="0"/>
        <v>400000</v>
      </c>
      <c r="D29" s="59">
        <v>300000</v>
      </c>
      <c r="E29" s="59">
        <v>100000</v>
      </c>
    </row>
    <row r="30" spans="1:5" x14ac:dyDescent="0.25">
      <c r="A30" s="121">
        <v>28</v>
      </c>
      <c r="B30" s="61" t="s">
        <v>150</v>
      </c>
      <c r="C30" s="53">
        <f t="shared" si="0"/>
        <v>100000</v>
      </c>
      <c r="D30" s="59">
        <v>70000</v>
      </c>
      <c r="E30" s="59">
        <v>30000</v>
      </c>
    </row>
    <row r="31" spans="1:5" x14ac:dyDescent="0.25">
      <c r="A31" s="121">
        <v>29</v>
      </c>
      <c r="B31" s="61" t="s">
        <v>177</v>
      </c>
      <c r="C31" s="53">
        <f t="shared" si="0"/>
        <v>0</v>
      </c>
      <c r="D31" s="55">
        <v>0</v>
      </c>
      <c r="E31" s="55">
        <v>0</v>
      </c>
    </row>
    <row r="32" spans="1:5" x14ac:dyDescent="0.25">
      <c r="A32" s="121">
        <v>30</v>
      </c>
      <c r="B32" s="122" t="s">
        <v>193</v>
      </c>
      <c r="C32" s="53">
        <f t="shared" si="0"/>
        <v>100000</v>
      </c>
      <c r="D32" s="59">
        <v>70000</v>
      </c>
      <c r="E32" s="59">
        <v>30000</v>
      </c>
    </row>
    <row r="33" spans="1:5" x14ac:dyDescent="0.25">
      <c r="A33" s="121">
        <v>31</v>
      </c>
      <c r="B33" s="61" t="s">
        <v>211</v>
      </c>
      <c r="C33" s="53">
        <f t="shared" si="0"/>
        <v>0</v>
      </c>
      <c r="D33" s="55"/>
      <c r="E33" s="55">
        <v>0</v>
      </c>
    </row>
    <row r="34" spans="1:5" x14ac:dyDescent="0.25">
      <c r="A34" s="121">
        <v>32</v>
      </c>
      <c r="B34" s="122" t="s">
        <v>212</v>
      </c>
      <c r="C34" s="53">
        <f t="shared" si="0"/>
        <v>50000</v>
      </c>
      <c r="D34" s="59">
        <v>20000</v>
      </c>
      <c r="E34" s="59">
        <v>30000</v>
      </c>
    </row>
    <row r="35" spans="1:5" ht="26.25" x14ac:dyDescent="0.25">
      <c r="A35" s="121">
        <v>33</v>
      </c>
      <c r="B35" s="61" t="s">
        <v>183</v>
      </c>
      <c r="C35" s="53">
        <f t="shared" si="0"/>
        <v>50000</v>
      </c>
      <c r="D35" s="59">
        <v>30000</v>
      </c>
      <c r="E35" s="59">
        <v>20000</v>
      </c>
    </row>
    <row r="36" spans="1:5" x14ac:dyDescent="0.25">
      <c r="A36" s="123"/>
      <c r="B36" s="124" t="s">
        <v>43</v>
      </c>
      <c r="C36" s="58">
        <f t="shared" ref="C36" si="1">SUM(C3:C35)</f>
        <v>4114527</v>
      </c>
      <c r="D36" s="58">
        <f t="shared" ref="D36" si="2">SUM(D3:D35)</f>
        <v>2993000</v>
      </c>
      <c r="E36" s="58">
        <f t="shared" ref="E36" si="3">SUM(E3:E35)</f>
        <v>1121527</v>
      </c>
    </row>
    <row r="37" spans="1:5" ht="26.25" x14ac:dyDescent="0.25">
      <c r="A37" s="121">
        <v>34</v>
      </c>
      <c r="B37" s="61" t="s">
        <v>154</v>
      </c>
      <c r="C37" s="53">
        <f t="shared" ref="C37:C41" si="4">D37+E37</f>
        <v>100000</v>
      </c>
      <c r="D37" s="59">
        <v>50000</v>
      </c>
      <c r="E37" s="60">
        <v>50000</v>
      </c>
    </row>
    <row r="38" spans="1:5" ht="39" x14ac:dyDescent="0.25">
      <c r="A38" s="121">
        <v>35</v>
      </c>
      <c r="B38" s="61" t="s">
        <v>155</v>
      </c>
      <c r="C38" s="53">
        <f t="shared" si="4"/>
        <v>50000</v>
      </c>
      <c r="D38" s="59">
        <v>50000</v>
      </c>
      <c r="E38" s="59">
        <v>0</v>
      </c>
    </row>
    <row r="39" spans="1:5" ht="26.25" x14ac:dyDescent="0.25">
      <c r="A39" s="121">
        <v>36</v>
      </c>
      <c r="B39" s="61" t="s">
        <v>101</v>
      </c>
      <c r="C39" s="53">
        <f t="shared" si="4"/>
        <v>150000</v>
      </c>
      <c r="D39" s="59">
        <v>100000</v>
      </c>
      <c r="E39" s="59">
        <v>50000</v>
      </c>
    </row>
    <row r="40" spans="1:5" ht="26.25" x14ac:dyDescent="0.25">
      <c r="A40" s="121">
        <v>37</v>
      </c>
      <c r="B40" s="61" t="s">
        <v>156</v>
      </c>
      <c r="C40" s="53">
        <f t="shared" si="4"/>
        <v>200000</v>
      </c>
      <c r="D40" s="59">
        <v>150000</v>
      </c>
      <c r="E40" s="59">
        <v>50000</v>
      </c>
    </row>
    <row r="41" spans="1:5" ht="26.25" x14ac:dyDescent="0.25">
      <c r="A41" s="121">
        <v>38</v>
      </c>
      <c r="B41" s="61" t="s">
        <v>157</v>
      </c>
      <c r="C41" s="53">
        <f t="shared" si="4"/>
        <v>100000</v>
      </c>
      <c r="D41" s="59">
        <v>80000</v>
      </c>
      <c r="E41" s="59">
        <v>20000</v>
      </c>
    </row>
    <row r="42" spans="1:5" x14ac:dyDescent="0.25">
      <c r="A42" s="123"/>
      <c r="B42" s="124" t="s">
        <v>50</v>
      </c>
      <c r="C42" s="58">
        <f>SUM(C37:C41)</f>
        <v>600000</v>
      </c>
      <c r="D42" s="58">
        <f t="shared" ref="D42:E42" si="5">SUM(D37:D41)</f>
        <v>430000</v>
      </c>
      <c r="E42" s="58">
        <f t="shared" si="5"/>
        <v>170000</v>
      </c>
    </row>
    <row r="43" spans="1:5" ht="26.25" x14ac:dyDescent="0.25">
      <c r="A43" s="121">
        <v>39</v>
      </c>
      <c r="B43" s="125" t="s">
        <v>158</v>
      </c>
      <c r="C43" s="53">
        <f t="shared" ref="C43:C46" si="6">D43+E43</f>
        <v>30000</v>
      </c>
      <c r="D43" s="59">
        <v>30000</v>
      </c>
      <c r="E43" s="60">
        <v>0</v>
      </c>
    </row>
    <row r="44" spans="1:5" ht="38.25" x14ac:dyDescent="0.25">
      <c r="A44" s="121">
        <v>40</v>
      </c>
      <c r="B44" s="126" t="s">
        <v>194</v>
      </c>
      <c r="C44" s="53">
        <f t="shared" si="6"/>
        <v>70000</v>
      </c>
      <c r="D44" s="59">
        <v>50000</v>
      </c>
      <c r="E44" s="60">
        <v>20000</v>
      </c>
    </row>
    <row r="45" spans="1:5" ht="25.5" x14ac:dyDescent="0.25">
      <c r="A45" s="121">
        <v>41</v>
      </c>
      <c r="B45" s="126" t="s">
        <v>195</v>
      </c>
      <c r="C45" s="53">
        <f t="shared" si="6"/>
        <v>0</v>
      </c>
      <c r="D45" s="59">
        <v>0</v>
      </c>
      <c r="E45" s="60">
        <v>0</v>
      </c>
    </row>
    <row r="46" spans="1:5" ht="25.5" x14ac:dyDescent="0.25">
      <c r="A46" s="121">
        <v>42</v>
      </c>
      <c r="B46" s="126" t="s">
        <v>196</v>
      </c>
      <c r="C46" s="53">
        <f t="shared" si="6"/>
        <v>80000</v>
      </c>
      <c r="D46" s="59">
        <v>60000</v>
      </c>
      <c r="E46" s="60">
        <v>20000</v>
      </c>
    </row>
    <row r="47" spans="1:5" x14ac:dyDescent="0.25">
      <c r="A47" s="123"/>
      <c r="B47" s="124" t="s">
        <v>48</v>
      </c>
      <c r="C47" s="58">
        <f>SUM(C43:C46)</f>
        <v>180000</v>
      </c>
      <c r="D47" s="58">
        <f t="shared" ref="D47:E47" si="7">SUM(D43:D46)</f>
        <v>140000</v>
      </c>
      <c r="E47" s="58">
        <f t="shared" si="7"/>
        <v>40000</v>
      </c>
    </row>
    <row r="48" spans="1:5" x14ac:dyDescent="0.25">
      <c r="A48" s="121">
        <v>43</v>
      </c>
      <c r="B48" s="127" t="s">
        <v>218</v>
      </c>
      <c r="C48" s="53">
        <f t="shared" ref="C48:C49" si="8">D48+E48</f>
        <v>50000</v>
      </c>
      <c r="D48" s="59">
        <v>30000</v>
      </c>
      <c r="E48" s="59">
        <v>20000</v>
      </c>
    </row>
    <row r="49" spans="1:5" ht="26.25" x14ac:dyDescent="0.25">
      <c r="A49" s="121">
        <v>44</v>
      </c>
      <c r="B49" s="128" t="s">
        <v>179</v>
      </c>
      <c r="C49" s="53">
        <f t="shared" si="8"/>
        <v>35000</v>
      </c>
      <c r="D49" s="59">
        <v>20000</v>
      </c>
      <c r="E49" s="59">
        <v>15000</v>
      </c>
    </row>
    <row r="50" spans="1:5" x14ac:dyDescent="0.25">
      <c r="A50" s="123"/>
      <c r="B50" s="124" t="s">
        <v>45</v>
      </c>
      <c r="C50" s="58">
        <f>SUM(C48:C49)</f>
        <v>85000</v>
      </c>
      <c r="D50" s="58">
        <f t="shared" ref="D50:E50" si="9">SUM(D48:D49)</f>
        <v>50000</v>
      </c>
      <c r="E50" s="58">
        <f t="shared" si="9"/>
        <v>35000</v>
      </c>
    </row>
    <row r="51" spans="1:5" x14ac:dyDescent="0.25">
      <c r="A51" s="121">
        <v>45</v>
      </c>
      <c r="B51" s="129" t="s">
        <v>163</v>
      </c>
      <c r="C51" s="53">
        <f>D51+E51</f>
        <v>0</v>
      </c>
      <c r="D51" s="59">
        <v>0</v>
      </c>
      <c r="E51" s="59"/>
    </row>
    <row r="52" spans="1:5" x14ac:dyDescent="0.25">
      <c r="A52" s="123"/>
      <c r="B52" s="130" t="s">
        <v>164</v>
      </c>
      <c r="C52" s="58">
        <f>SUM(C51)</f>
        <v>0</v>
      </c>
      <c r="D52" s="58">
        <f t="shared" ref="D52:E52" si="10">SUM(D51)</f>
        <v>0</v>
      </c>
      <c r="E52" s="58">
        <f t="shared" si="10"/>
        <v>0</v>
      </c>
    </row>
    <row r="53" spans="1:5" x14ac:dyDescent="0.25">
      <c r="A53" s="121">
        <v>46</v>
      </c>
      <c r="B53" s="129" t="s">
        <v>219</v>
      </c>
      <c r="C53" s="53">
        <f t="shared" ref="C53:C54" si="11">D53+E53</f>
        <v>50000</v>
      </c>
      <c r="D53" s="59">
        <v>50000</v>
      </c>
      <c r="E53" s="59">
        <v>0</v>
      </c>
    </row>
    <row r="54" spans="1:5" x14ac:dyDescent="0.25">
      <c r="A54" s="121">
        <v>47</v>
      </c>
      <c r="B54" s="125" t="s">
        <v>165</v>
      </c>
      <c r="C54" s="53">
        <f t="shared" si="11"/>
        <v>35000</v>
      </c>
      <c r="D54" s="59">
        <v>20000</v>
      </c>
      <c r="E54" s="59">
        <v>15000</v>
      </c>
    </row>
    <row r="55" spans="1:5" x14ac:dyDescent="0.25">
      <c r="A55" s="123"/>
      <c r="B55" s="124" t="s">
        <v>46</v>
      </c>
      <c r="C55" s="58">
        <f>SUM(C53:C54)</f>
        <v>85000</v>
      </c>
      <c r="D55" s="58">
        <f t="shared" ref="D55:E55" si="12">SUM(D53:D54)</f>
        <v>70000</v>
      </c>
      <c r="E55" s="58">
        <f t="shared" si="12"/>
        <v>15000</v>
      </c>
    </row>
    <row r="56" spans="1:5" x14ac:dyDescent="0.25">
      <c r="A56" s="121">
        <v>48</v>
      </c>
      <c r="B56" s="125" t="s">
        <v>220</v>
      </c>
      <c r="C56" s="53">
        <f>D56+E56</f>
        <v>80000</v>
      </c>
      <c r="D56" s="59">
        <v>55000</v>
      </c>
      <c r="E56" s="59">
        <v>25000</v>
      </c>
    </row>
    <row r="57" spans="1:5" x14ac:dyDescent="0.25">
      <c r="A57" s="123"/>
      <c r="B57" s="124" t="s">
        <v>47</v>
      </c>
      <c r="C57" s="58">
        <f>SUM(C56:C56)</f>
        <v>80000</v>
      </c>
      <c r="D57" s="62">
        <f>SUM(D56:D56)</f>
        <v>55000</v>
      </c>
      <c r="E57" s="58">
        <f>SUM(E56:E56)</f>
        <v>25000</v>
      </c>
    </row>
    <row r="58" spans="1:5" x14ac:dyDescent="0.25">
      <c r="A58" s="121">
        <v>49</v>
      </c>
      <c r="B58" s="131" t="s">
        <v>166</v>
      </c>
      <c r="C58" s="53">
        <f>D58+E58</f>
        <v>12000</v>
      </c>
      <c r="D58" s="87"/>
      <c r="E58" s="60">
        <v>12000</v>
      </c>
    </row>
    <row r="59" spans="1:5" x14ac:dyDescent="0.25">
      <c r="A59" s="123"/>
      <c r="B59" s="124" t="s">
        <v>100</v>
      </c>
      <c r="C59" s="58">
        <f>C58</f>
        <v>12000</v>
      </c>
      <c r="D59" s="58">
        <f t="shared" ref="D59:E59" si="13">D58</f>
        <v>0</v>
      </c>
      <c r="E59" s="58">
        <f t="shared" si="13"/>
        <v>12000</v>
      </c>
    </row>
    <row r="60" spans="1:5" ht="26.25" x14ac:dyDescent="0.25">
      <c r="A60" s="121">
        <v>50</v>
      </c>
      <c r="B60" s="61" t="s">
        <v>167</v>
      </c>
      <c r="C60" s="53">
        <f>D60+E60</f>
        <v>120000</v>
      </c>
      <c r="D60" s="59">
        <v>90000</v>
      </c>
      <c r="E60" s="59">
        <v>30000</v>
      </c>
    </row>
    <row r="61" spans="1:5" x14ac:dyDescent="0.25">
      <c r="A61" s="56"/>
      <c r="B61" s="57" t="s">
        <v>44</v>
      </c>
      <c r="C61" s="58">
        <v>120000</v>
      </c>
      <c r="D61" s="62">
        <v>90000</v>
      </c>
      <c r="E61" s="58">
        <f>SUM(E60:E60)</f>
        <v>30000</v>
      </c>
    </row>
    <row r="62" spans="1:5" x14ac:dyDescent="0.25">
      <c r="A62" s="121"/>
      <c r="B62" s="63" t="s">
        <v>49</v>
      </c>
      <c r="C62" s="64">
        <f>C36+C42+C47+C50+C52+C55+C57+C59+C61</f>
        <v>5276527</v>
      </c>
      <c r="D62" s="64">
        <f t="shared" ref="D62:E62" si="14">D36+D42+D47+D50+D52+D55+D57+D59+D61</f>
        <v>3828000</v>
      </c>
      <c r="E62" s="64">
        <f t="shared" si="14"/>
        <v>1448527</v>
      </c>
    </row>
  </sheetData>
  <mergeCells count="1">
    <mergeCell ref="B1:C1"/>
  </mergeCells>
  <pageMargins left="0.11811023622047245" right="0" top="0.35433070866141736" bottom="0.15748031496062992" header="0.31496062992125984" footer="0.31496062992125984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workbookViewId="0"/>
  </sheetViews>
  <sheetFormatPr defaultRowHeight="15" x14ac:dyDescent="0.25"/>
  <cols>
    <col min="1" max="1" width="23.28515625" customWidth="1"/>
    <col min="2" max="2" width="25.42578125" customWidth="1"/>
    <col min="3" max="3" width="23.28515625" customWidth="1"/>
  </cols>
  <sheetData>
    <row r="1" spans="1:3" x14ac:dyDescent="0.25">
      <c r="A1" s="91" t="s">
        <v>109</v>
      </c>
    </row>
    <row r="2" spans="1:3" ht="52.15" customHeight="1" x14ac:dyDescent="0.25">
      <c r="A2" s="96" t="s">
        <v>210</v>
      </c>
      <c r="B2" s="97" t="s">
        <v>207</v>
      </c>
      <c r="C2" s="97" t="s">
        <v>110</v>
      </c>
    </row>
    <row r="3" spans="1:3" ht="16.5" thickBot="1" x14ac:dyDescent="0.3">
      <c r="A3" s="92" t="s">
        <v>208</v>
      </c>
      <c r="B3" s="93">
        <v>15029</v>
      </c>
      <c r="C3" s="95">
        <f>B3*100/B5</f>
        <v>49.270563551126116</v>
      </c>
    </row>
    <row r="4" spans="1:3" ht="18" customHeight="1" thickBot="1" x14ac:dyDescent="0.3">
      <c r="A4" s="92" t="s">
        <v>209</v>
      </c>
      <c r="B4" s="93">
        <v>15474</v>
      </c>
      <c r="C4" s="95">
        <f>B4*100/B5</f>
        <v>50.729436448873884</v>
      </c>
    </row>
    <row r="5" spans="1:3" ht="36" customHeight="1" thickBot="1" x14ac:dyDescent="0.3">
      <c r="A5" s="92" t="s">
        <v>111</v>
      </c>
      <c r="B5" s="93">
        <f>SUM(B3:B4)</f>
        <v>30503</v>
      </c>
      <c r="C5" s="94">
        <f>SUM(C3:C4)</f>
        <v>100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zoomScaleNormal="100" workbookViewId="0">
      <selection activeCell="A2" sqref="A2:A3"/>
    </sheetView>
  </sheetViews>
  <sheetFormatPr defaultRowHeight="15" x14ac:dyDescent="0.25"/>
  <cols>
    <col min="1" max="1" width="32.5703125" customWidth="1"/>
    <col min="2" max="2" width="9.28515625" customWidth="1"/>
    <col min="3" max="5" width="9.7109375" customWidth="1"/>
    <col min="6" max="6" width="14.42578125" customWidth="1"/>
    <col min="7" max="7" width="14.7109375" customWidth="1"/>
    <col min="8" max="8" width="13.140625" customWidth="1"/>
    <col min="9" max="9" width="18" customWidth="1"/>
    <col min="10" max="10" width="10.140625" bestFit="1" customWidth="1"/>
  </cols>
  <sheetData>
    <row r="1" spans="1:10" ht="16.5" thickBot="1" x14ac:dyDescent="0.3">
      <c r="A1" s="164" t="s">
        <v>217</v>
      </c>
      <c r="B1" s="164"/>
      <c r="C1" s="164"/>
      <c r="D1" s="164"/>
      <c r="E1" s="164"/>
      <c r="F1" s="164"/>
      <c r="G1" s="164"/>
      <c r="H1" s="164"/>
    </row>
    <row r="2" spans="1:10" ht="15.6" customHeight="1" x14ac:dyDescent="0.25">
      <c r="A2" s="160" t="s">
        <v>17</v>
      </c>
      <c r="B2" s="166" t="s">
        <v>203</v>
      </c>
      <c r="C2" s="166" t="s">
        <v>204</v>
      </c>
      <c r="D2" s="166" t="s">
        <v>23</v>
      </c>
      <c r="E2" s="165" t="s">
        <v>202</v>
      </c>
      <c r="F2" s="162">
        <v>2026</v>
      </c>
      <c r="G2" s="162"/>
      <c r="H2" s="163"/>
    </row>
    <row r="3" spans="1:10" ht="27.6" customHeight="1" x14ac:dyDescent="0.25">
      <c r="A3" s="161"/>
      <c r="B3" s="166"/>
      <c r="C3" s="166"/>
      <c r="D3" s="166"/>
      <c r="E3" s="165"/>
      <c r="F3" s="98" t="s">
        <v>206</v>
      </c>
      <c r="G3" s="98" t="s">
        <v>205</v>
      </c>
      <c r="H3" s="103" t="s">
        <v>112</v>
      </c>
    </row>
    <row r="4" spans="1:10" ht="14.45" customHeight="1" x14ac:dyDescent="0.25">
      <c r="A4" s="45" t="s">
        <v>24</v>
      </c>
      <c r="B4" s="45">
        <v>15</v>
      </c>
      <c r="C4" s="45">
        <v>6</v>
      </c>
      <c r="D4" s="45">
        <f>B4+C4</f>
        <v>21</v>
      </c>
      <c r="E4" s="138">
        <f>C4*100/D4</f>
        <v>28.571428571428573</v>
      </c>
      <c r="F4" s="65">
        <v>175404.81</v>
      </c>
      <c r="G4" s="65">
        <v>62913.98</v>
      </c>
      <c r="H4" s="90">
        <f t="shared" ref="H4:H20" si="0">F4+G4</f>
        <v>238318.79</v>
      </c>
    </row>
    <row r="5" spans="1:10" x14ac:dyDescent="0.25">
      <c r="A5" s="45" t="s">
        <v>25</v>
      </c>
      <c r="B5" s="45">
        <v>14</v>
      </c>
      <c r="C5" s="45">
        <v>13</v>
      </c>
      <c r="D5" s="45">
        <f t="shared" ref="D5:D21" si="1">B5+C5</f>
        <v>27</v>
      </c>
      <c r="E5" s="138">
        <f t="shared" ref="E5:E21" si="2">C5*100/D5</f>
        <v>48.148148148148145</v>
      </c>
      <c r="F5" s="90">
        <f>140034.71+27903.08</f>
        <v>167937.78999999998</v>
      </c>
      <c r="G5" s="65">
        <v>129257.69</v>
      </c>
      <c r="H5" s="90">
        <f t="shared" si="0"/>
        <v>297195.48</v>
      </c>
    </row>
    <row r="6" spans="1:10" x14ac:dyDescent="0.25">
      <c r="A6" s="45" t="s">
        <v>26</v>
      </c>
      <c r="B6" s="45">
        <v>25</v>
      </c>
      <c r="C6" s="45">
        <v>13</v>
      </c>
      <c r="D6" s="45">
        <f t="shared" si="1"/>
        <v>38</v>
      </c>
      <c r="E6" s="138">
        <f t="shared" si="2"/>
        <v>34.210526315789473</v>
      </c>
      <c r="F6" s="65">
        <f>215807.75-721.28</f>
        <v>215086.47</v>
      </c>
      <c r="G6" s="65">
        <f>116418.05-500</f>
        <v>115918.05</v>
      </c>
      <c r="H6" s="90">
        <f t="shared" si="0"/>
        <v>331004.52</v>
      </c>
    </row>
    <row r="7" spans="1:10" x14ac:dyDescent="0.25">
      <c r="A7" s="45" t="s">
        <v>39</v>
      </c>
      <c r="B7" s="45">
        <v>0</v>
      </c>
      <c r="C7" s="45">
        <v>1</v>
      </c>
      <c r="D7" s="45">
        <f t="shared" si="1"/>
        <v>1</v>
      </c>
      <c r="E7" s="138">
        <f t="shared" si="2"/>
        <v>100</v>
      </c>
      <c r="F7" s="65">
        <v>0</v>
      </c>
      <c r="G7" s="99">
        <v>10024.040000000001</v>
      </c>
      <c r="H7" s="90">
        <f t="shared" si="0"/>
        <v>10024.040000000001</v>
      </c>
    </row>
    <row r="8" spans="1:10" x14ac:dyDescent="0.25">
      <c r="A8" s="45" t="s">
        <v>27</v>
      </c>
      <c r="B8" s="45">
        <v>8</v>
      </c>
      <c r="C8" s="45">
        <v>0</v>
      </c>
      <c r="D8" s="45">
        <f t="shared" si="1"/>
        <v>8</v>
      </c>
      <c r="E8" s="138">
        <f t="shared" si="2"/>
        <v>0</v>
      </c>
      <c r="F8" s="65">
        <v>88840.8</v>
      </c>
      <c r="G8" s="65">
        <v>0</v>
      </c>
      <c r="H8" s="90">
        <f t="shared" si="0"/>
        <v>88840.8</v>
      </c>
    </row>
    <row r="9" spans="1:10" x14ac:dyDescent="0.25">
      <c r="A9" s="45" t="s">
        <v>28</v>
      </c>
      <c r="B9" s="45">
        <v>10</v>
      </c>
      <c r="C9" s="45">
        <v>11</v>
      </c>
      <c r="D9" s="45">
        <f t="shared" si="1"/>
        <v>21</v>
      </c>
      <c r="E9" s="138">
        <f t="shared" si="2"/>
        <v>52.38095238095238</v>
      </c>
      <c r="F9" s="65">
        <f>96155+419.09</f>
        <v>96574.09</v>
      </c>
      <c r="G9" s="65">
        <f>102936.8-3000</f>
        <v>99936.8</v>
      </c>
      <c r="H9" s="90">
        <f t="shared" si="0"/>
        <v>196510.89</v>
      </c>
    </row>
    <row r="10" spans="1:10" x14ac:dyDescent="0.25">
      <c r="A10" s="45" t="s">
        <v>29</v>
      </c>
      <c r="B10" s="45">
        <v>3</v>
      </c>
      <c r="C10" s="45">
        <v>0</v>
      </c>
      <c r="D10" s="45">
        <f t="shared" si="1"/>
        <v>3</v>
      </c>
      <c r="E10" s="138">
        <f t="shared" si="2"/>
        <v>0</v>
      </c>
      <c r="F10" s="65">
        <v>31603.502700000005</v>
      </c>
      <c r="G10" s="65">
        <v>0</v>
      </c>
      <c r="H10" s="90">
        <f t="shared" si="0"/>
        <v>31603.502700000005</v>
      </c>
    </row>
    <row r="11" spans="1:10" x14ac:dyDescent="0.25">
      <c r="A11" s="45" t="s">
        <v>30</v>
      </c>
      <c r="B11" s="45">
        <v>15</v>
      </c>
      <c r="C11" s="45">
        <v>0</v>
      </c>
      <c r="D11" s="45">
        <f t="shared" si="1"/>
        <v>15</v>
      </c>
      <c r="E11" s="138">
        <f t="shared" si="2"/>
        <v>0</v>
      </c>
      <c r="F11" s="143">
        <v>166468.67000000001</v>
      </c>
      <c r="G11" s="143">
        <v>0</v>
      </c>
      <c r="H11" s="90">
        <f t="shared" si="0"/>
        <v>166468.67000000001</v>
      </c>
    </row>
    <row r="12" spans="1:10" x14ac:dyDescent="0.25">
      <c r="A12" s="45" t="s">
        <v>31</v>
      </c>
      <c r="B12" s="45">
        <v>3</v>
      </c>
      <c r="C12" s="45">
        <v>1</v>
      </c>
      <c r="D12" s="45">
        <f t="shared" si="1"/>
        <v>4</v>
      </c>
      <c r="E12" s="138">
        <f t="shared" si="2"/>
        <v>25</v>
      </c>
      <c r="F12" s="143">
        <v>26827.55</v>
      </c>
      <c r="G12" s="143">
        <v>12446.765099999997</v>
      </c>
      <c r="H12" s="90">
        <f t="shared" si="0"/>
        <v>39274.315099999993</v>
      </c>
    </row>
    <row r="13" spans="1:10" x14ac:dyDescent="0.25">
      <c r="A13" s="45" t="s">
        <v>32</v>
      </c>
      <c r="B13" s="45">
        <v>5</v>
      </c>
      <c r="C13" s="45">
        <v>0</v>
      </c>
      <c r="D13" s="45">
        <f t="shared" si="1"/>
        <v>5</v>
      </c>
      <c r="E13" s="138">
        <f t="shared" si="2"/>
        <v>0</v>
      </c>
      <c r="F13" s="143">
        <v>52942.71</v>
      </c>
      <c r="G13" s="143">
        <v>0</v>
      </c>
      <c r="H13" s="90">
        <f t="shared" si="0"/>
        <v>52942.71</v>
      </c>
    </row>
    <row r="14" spans="1:10" x14ac:dyDescent="0.25">
      <c r="A14" s="45" t="s">
        <v>33</v>
      </c>
      <c r="B14" s="45">
        <v>5</v>
      </c>
      <c r="C14" s="45">
        <v>4</v>
      </c>
      <c r="D14" s="45">
        <f t="shared" si="1"/>
        <v>9</v>
      </c>
      <c r="E14" s="138">
        <f t="shared" si="2"/>
        <v>44.444444444444443</v>
      </c>
      <c r="F14" s="143">
        <f>52314.09-1000</f>
        <v>51314.09</v>
      </c>
      <c r="G14" s="143">
        <f>36409.87-658.42</f>
        <v>35751.450000000004</v>
      </c>
      <c r="H14" s="90">
        <f t="shared" si="0"/>
        <v>87065.540000000008</v>
      </c>
    </row>
    <row r="15" spans="1:10" x14ac:dyDescent="0.25">
      <c r="A15" s="46" t="s">
        <v>34</v>
      </c>
      <c r="B15" s="46">
        <v>3</v>
      </c>
      <c r="C15" s="46">
        <v>3</v>
      </c>
      <c r="D15" s="45">
        <f t="shared" si="1"/>
        <v>6</v>
      </c>
      <c r="E15" s="138">
        <f t="shared" si="2"/>
        <v>50</v>
      </c>
      <c r="F15" s="143">
        <f>38002.24-16.29</f>
        <v>37985.949999999997</v>
      </c>
      <c r="G15" s="143">
        <v>27462.49</v>
      </c>
      <c r="H15" s="90">
        <f t="shared" si="0"/>
        <v>65448.44</v>
      </c>
    </row>
    <row r="16" spans="1:10" x14ac:dyDescent="0.25">
      <c r="A16" s="139" t="s">
        <v>35</v>
      </c>
      <c r="B16" s="139">
        <v>60</v>
      </c>
      <c r="C16" s="139">
        <v>87</v>
      </c>
      <c r="D16" s="145">
        <f t="shared" si="1"/>
        <v>147</v>
      </c>
      <c r="E16" s="146">
        <f t="shared" si="2"/>
        <v>59.183673469387756</v>
      </c>
      <c r="F16" s="147">
        <f>623492.28+20000.6</f>
        <v>643492.88</v>
      </c>
      <c r="G16" s="147">
        <f>817958.29+15037.43+44882.21</f>
        <v>877877.93</v>
      </c>
      <c r="H16" s="140">
        <f t="shared" si="0"/>
        <v>1521370.81</v>
      </c>
      <c r="J16" s="3"/>
    </row>
    <row r="17" spans="1:10" x14ac:dyDescent="0.25">
      <c r="A17" s="46" t="s">
        <v>36</v>
      </c>
      <c r="B17" s="46">
        <v>8</v>
      </c>
      <c r="C17" s="46">
        <v>3</v>
      </c>
      <c r="D17" s="45">
        <f t="shared" si="1"/>
        <v>11</v>
      </c>
      <c r="E17" s="138">
        <f t="shared" si="2"/>
        <v>27.272727272727273</v>
      </c>
      <c r="F17" s="65">
        <f>77301.37-252.93</f>
        <v>77048.44</v>
      </c>
      <c r="G17" s="65">
        <v>26360.33</v>
      </c>
      <c r="H17" s="90">
        <f t="shared" si="0"/>
        <v>103408.77</v>
      </c>
    </row>
    <row r="18" spans="1:10" x14ac:dyDescent="0.25">
      <c r="A18" s="88" t="s">
        <v>107</v>
      </c>
      <c r="B18" s="137">
        <v>8</v>
      </c>
      <c r="C18" s="137">
        <v>5</v>
      </c>
      <c r="D18" s="45">
        <f t="shared" si="1"/>
        <v>13</v>
      </c>
      <c r="E18" s="138">
        <f t="shared" si="2"/>
        <v>38.46153846153846</v>
      </c>
      <c r="F18" s="65">
        <f>79704.7+445.76</f>
        <v>80150.459999999992</v>
      </c>
      <c r="G18" s="65">
        <v>47359.6</v>
      </c>
      <c r="H18" s="90">
        <f t="shared" si="0"/>
        <v>127510.06</v>
      </c>
    </row>
    <row r="19" spans="1:10" x14ac:dyDescent="0.25">
      <c r="A19" s="46" t="s">
        <v>37</v>
      </c>
      <c r="B19" s="46">
        <v>9</v>
      </c>
      <c r="C19" s="46">
        <v>4</v>
      </c>
      <c r="D19" s="45">
        <f t="shared" si="1"/>
        <v>13</v>
      </c>
      <c r="E19" s="138">
        <f t="shared" si="2"/>
        <v>30.76923076923077</v>
      </c>
      <c r="F19" s="65">
        <f>94039.53-3657.21</f>
        <v>90382.319999999992</v>
      </c>
      <c r="G19" s="65">
        <v>33404.67</v>
      </c>
      <c r="H19" s="90">
        <f t="shared" si="0"/>
        <v>123786.98999999999</v>
      </c>
    </row>
    <row r="20" spans="1:10" x14ac:dyDescent="0.25">
      <c r="A20" s="139" t="s">
        <v>38</v>
      </c>
      <c r="B20" s="139">
        <v>320</v>
      </c>
      <c r="C20" s="139">
        <v>327</v>
      </c>
      <c r="D20" s="145">
        <f t="shared" si="1"/>
        <v>647</v>
      </c>
      <c r="E20" s="146">
        <f t="shared" si="2"/>
        <v>50.540958268933537</v>
      </c>
      <c r="F20" s="147">
        <f>3126076-75000</f>
        <v>3051076</v>
      </c>
      <c r="G20" s="147">
        <f>3097011-61761.32</f>
        <v>3035249.68</v>
      </c>
      <c r="H20" s="140">
        <f t="shared" si="0"/>
        <v>6086325.6799999997</v>
      </c>
      <c r="I20" s="144"/>
      <c r="J20" s="3"/>
    </row>
    <row r="21" spans="1:10" x14ac:dyDescent="0.25">
      <c r="A21" s="46" t="s">
        <v>113</v>
      </c>
      <c r="B21" s="46">
        <f>SUM(B4:B20)</f>
        <v>511</v>
      </c>
      <c r="C21" s="46">
        <f>SUM(C4:C20)</f>
        <v>478</v>
      </c>
      <c r="D21" s="45">
        <f t="shared" si="1"/>
        <v>989</v>
      </c>
      <c r="E21" s="138">
        <f t="shared" si="2"/>
        <v>48.331648129423662</v>
      </c>
      <c r="F21" s="100">
        <f>SUM(F4:F20)</f>
        <v>5053136.5327000003</v>
      </c>
      <c r="G21" s="100">
        <f>SUM(G4:G20)</f>
        <v>4513963.4751000004</v>
      </c>
      <c r="H21" s="100">
        <f>SUM(H4:H20)</f>
        <v>9567100.0077999998</v>
      </c>
    </row>
    <row r="23" spans="1:10" x14ac:dyDescent="0.25">
      <c r="C23" s="142"/>
    </row>
    <row r="25" spans="1:10" x14ac:dyDescent="0.25">
      <c r="A25" s="101" t="s">
        <v>206</v>
      </c>
      <c r="B25" s="101"/>
      <c r="C25" s="101"/>
      <c r="D25" s="101"/>
      <c r="E25" s="101"/>
      <c r="F25" s="102">
        <f>F21</f>
        <v>5053136.5327000003</v>
      </c>
    </row>
    <row r="26" spans="1:10" x14ac:dyDescent="0.25">
      <c r="A26" s="101" t="s">
        <v>205</v>
      </c>
      <c r="B26" s="101"/>
      <c r="C26" s="101"/>
      <c r="D26" s="101"/>
      <c r="E26" s="101"/>
      <c r="F26" s="102">
        <f>G21</f>
        <v>4513963.4751000004</v>
      </c>
    </row>
  </sheetData>
  <mergeCells count="7">
    <mergeCell ref="A2:A3"/>
    <mergeCell ref="F2:H2"/>
    <mergeCell ref="A1:H1"/>
    <mergeCell ref="E2:E3"/>
    <mergeCell ref="B2:B3"/>
    <mergeCell ref="C2:C3"/>
    <mergeCell ref="D2:D3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A2" sqref="A2"/>
    </sheetView>
  </sheetViews>
  <sheetFormatPr defaultRowHeight="15" x14ac:dyDescent="0.25"/>
  <cols>
    <col min="1" max="1" width="10.28515625" customWidth="1"/>
    <col min="2" max="2" width="30.140625" customWidth="1"/>
    <col min="3" max="4" width="15.28515625" customWidth="1"/>
    <col min="5" max="5" width="15.85546875" customWidth="1"/>
  </cols>
  <sheetData>
    <row r="1" spans="1:5" ht="15.75" thickBot="1" x14ac:dyDescent="0.3">
      <c r="A1" s="48" t="s">
        <v>121</v>
      </c>
    </row>
    <row r="2" spans="1:5" ht="27" thickBot="1" x14ac:dyDescent="0.3">
      <c r="A2" s="67" t="s">
        <v>52</v>
      </c>
      <c r="B2" s="68" t="s">
        <v>53</v>
      </c>
      <c r="C2" s="68" t="s">
        <v>103</v>
      </c>
      <c r="D2" s="68" t="s">
        <v>104</v>
      </c>
      <c r="E2" s="68" t="s">
        <v>122</v>
      </c>
    </row>
    <row r="3" spans="1:5" ht="13.5" customHeight="1" thickBot="1" x14ac:dyDescent="0.3">
      <c r="A3" s="69" t="s">
        <v>54</v>
      </c>
      <c r="B3" s="70" t="s">
        <v>55</v>
      </c>
      <c r="C3" s="71">
        <f>C4</f>
        <v>283000</v>
      </c>
      <c r="D3" s="71">
        <f t="shared" ref="D3:E3" si="0">D4</f>
        <v>294000</v>
      </c>
      <c r="E3" s="71">
        <f t="shared" si="0"/>
        <v>294000</v>
      </c>
    </row>
    <row r="4" spans="1:5" ht="15.75" thickBot="1" x14ac:dyDescent="0.3">
      <c r="A4" s="72">
        <v>50009</v>
      </c>
      <c r="B4" s="73" t="s">
        <v>56</v>
      </c>
      <c r="C4" s="74">
        <f>264000+19000</f>
        <v>283000</v>
      </c>
      <c r="D4" s="74">
        <f>275000+19000</f>
        <v>294000</v>
      </c>
      <c r="E4" s="74">
        <f>275000+19000</f>
        <v>294000</v>
      </c>
    </row>
    <row r="5" spans="1:5" ht="15.75" thickBot="1" x14ac:dyDescent="0.3">
      <c r="A5" s="75" t="s">
        <v>57</v>
      </c>
      <c r="B5" s="76" t="s">
        <v>58</v>
      </c>
      <c r="C5" s="77">
        <f>C6+C7</f>
        <v>15000</v>
      </c>
      <c r="D5" s="77">
        <f t="shared" ref="D5:E5" si="1">D6+D7</f>
        <v>17500</v>
      </c>
      <c r="E5" s="77">
        <f t="shared" si="1"/>
        <v>17500</v>
      </c>
    </row>
    <row r="6" spans="1:5" ht="15.75" thickBot="1" x14ac:dyDescent="0.3">
      <c r="A6" s="72">
        <v>50104</v>
      </c>
      <c r="B6" s="73" t="s">
        <v>59</v>
      </c>
      <c r="C6" s="74">
        <v>8000</v>
      </c>
      <c r="D6" s="74">
        <v>9500</v>
      </c>
      <c r="E6" s="74">
        <v>9500</v>
      </c>
    </row>
    <row r="7" spans="1:5" ht="15.75" thickBot="1" x14ac:dyDescent="0.3">
      <c r="A7" s="72">
        <v>50205</v>
      </c>
      <c r="B7" s="73" t="s">
        <v>60</v>
      </c>
      <c r="C7" s="74">
        <v>7000</v>
      </c>
      <c r="D7" s="74">
        <v>8000</v>
      </c>
      <c r="E7" s="74">
        <v>8000</v>
      </c>
    </row>
    <row r="8" spans="1:5" ht="15.75" thickBot="1" x14ac:dyDescent="0.3">
      <c r="A8" s="75" t="s">
        <v>61</v>
      </c>
      <c r="B8" s="76" t="s">
        <v>62</v>
      </c>
      <c r="C8" s="77">
        <f>C9</f>
        <v>82000</v>
      </c>
      <c r="D8" s="77">
        <f t="shared" ref="D8:E8" si="2">D9</f>
        <v>87000</v>
      </c>
      <c r="E8" s="77">
        <f t="shared" si="2"/>
        <v>87000</v>
      </c>
    </row>
    <row r="9" spans="1:5" ht="15.75" thickBot="1" x14ac:dyDescent="0.3">
      <c r="A9" s="72">
        <v>50504</v>
      </c>
      <c r="B9" s="73" t="s">
        <v>63</v>
      </c>
      <c r="C9" s="74">
        <f>17000+65000</f>
        <v>82000</v>
      </c>
      <c r="D9" s="74">
        <v>87000</v>
      </c>
      <c r="E9" s="74">
        <v>87000</v>
      </c>
    </row>
    <row r="10" spans="1:5" ht="15.75" thickBot="1" x14ac:dyDescent="0.3">
      <c r="A10" s="75" t="s">
        <v>64</v>
      </c>
      <c r="B10" s="76" t="s">
        <v>65</v>
      </c>
      <c r="C10" s="77">
        <f>C11+C12+C13+C14+C15+C16</f>
        <v>56030</v>
      </c>
      <c r="D10" s="77">
        <f t="shared" ref="D10:E10" si="3">D11+D12+D13+D14+D15+D16</f>
        <v>58900</v>
      </c>
      <c r="E10" s="77">
        <f t="shared" si="3"/>
        <v>58900</v>
      </c>
    </row>
    <row r="11" spans="1:5" ht="15.75" thickBot="1" x14ac:dyDescent="0.3">
      <c r="A11" s="72">
        <v>50013</v>
      </c>
      <c r="B11" s="73" t="s">
        <v>66</v>
      </c>
      <c r="C11" s="74">
        <v>680</v>
      </c>
      <c r="D11" s="74">
        <v>1000</v>
      </c>
      <c r="E11" s="74">
        <v>1000</v>
      </c>
    </row>
    <row r="12" spans="1:5" ht="15.75" thickBot="1" x14ac:dyDescent="0.3">
      <c r="A12" s="72">
        <v>50014</v>
      </c>
      <c r="B12" s="73" t="s">
        <v>67</v>
      </c>
      <c r="C12" s="74">
        <v>100</v>
      </c>
      <c r="D12" s="74">
        <v>100</v>
      </c>
      <c r="E12" s="74">
        <v>100</v>
      </c>
    </row>
    <row r="13" spans="1:5" ht="15.75" thickBot="1" x14ac:dyDescent="0.3">
      <c r="A13" s="72">
        <v>50015</v>
      </c>
      <c r="B13" s="73" t="s">
        <v>68</v>
      </c>
      <c r="C13" s="74">
        <v>1550</v>
      </c>
      <c r="D13" s="74">
        <v>1600</v>
      </c>
      <c r="E13" s="74">
        <v>1600</v>
      </c>
    </row>
    <row r="14" spans="1:5" ht="15.75" thickBot="1" x14ac:dyDescent="0.3">
      <c r="A14" s="72">
        <v>50016</v>
      </c>
      <c r="B14" s="73" t="s">
        <v>69</v>
      </c>
      <c r="C14" s="74">
        <v>43000</v>
      </c>
      <c r="D14" s="74">
        <v>45000</v>
      </c>
      <c r="E14" s="74">
        <v>45000</v>
      </c>
    </row>
    <row r="15" spans="1:5" ht="15.75" thickBot="1" x14ac:dyDescent="0.3">
      <c r="A15" s="72">
        <v>50017</v>
      </c>
      <c r="B15" s="73" t="s">
        <v>70</v>
      </c>
      <c r="C15" s="74">
        <v>7500</v>
      </c>
      <c r="D15" s="74">
        <v>8000</v>
      </c>
      <c r="E15" s="74">
        <v>8000</v>
      </c>
    </row>
    <row r="16" spans="1:5" ht="15.75" thickBot="1" x14ac:dyDescent="0.3">
      <c r="A16" s="72">
        <v>50019</v>
      </c>
      <c r="B16" s="78" t="s">
        <v>71</v>
      </c>
      <c r="C16" s="74">
        <v>3200</v>
      </c>
      <c r="D16" s="74">
        <v>3200</v>
      </c>
      <c r="E16" s="74">
        <v>3200</v>
      </c>
    </row>
    <row r="17" spans="1:5" ht="15.75" thickBot="1" x14ac:dyDescent="0.3">
      <c r="A17" s="75" t="s">
        <v>72</v>
      </c>
      <c r="B17" s="70" t="s">
        <v>73</v>
      </c>
      <c r="C17" s="77">
        <f>C18+C19+C20+C21+C22+C23+C24+C25+C26+C27+C28</f>
        <v>991754</v>
      </c>
      <c r="D17" s="77">
        <f t="shared" ref="D17:E17" si="4">D18+D19+D20+D21+D22+D23+D24+D25+D26+D27+D28</f>
        <v>1079311</v>
      </c>
      <c r="E17" s="77">
        <f t="shared" si="4"/>
        <v>1085806</v>
      </c>
    </row>
    <row r="18" spans="1:5" ht="15.75" thickBot="1" x14ac:dyDescent="0.3">
      <c r="A18" s="72">
        <v>50103</v>
      </c>
      <c r="B18" s="78" t="s">
        <v>74</v>
      </c>
      <c r="C18" s="74">
        <v>1000</v>
      </c>
      <c r="D18" s="74">
        <v>1500</v>
      </c>
      <c r="E18" s="74">
        <v>1500</v>
      </c>
    </row>
    <row r="19" spans="1:5" ht="15.75" thickBot="1" x14ac:dyDescent="0.3">
      <c r="A19" s="72">
        <v>50217</v>
      </c>
      <c r="B19" s="73" t="s">
        <v>105</v>
      </c>
      <c r="C19" s="74">
        <v>69800</v>
      </c>
      <c r="D19" s="74">
        <v>77200</v>
      </c>
      <c r="E19" s="74">
        <v>77200</v>
      </c>
    </row>
    <row r="20" spans="1:5" ht="15.75" thickBot="1" x14ac:dyDescent="0.3">
      <c r="A20" s="72">
        <v>50001</v>
      </c>
      <c r="B20" s="73" t="s">
        <v>75</v>
      </c>
      <c r="C20" s="74">
        <v>115000</v>
      </c>
      <c r="D20" s="74">
        <v>117000</v>
      </c>
      <c r="E20" s="74">
        <v>117000</v>
      </c>
    </row>
    <row r="21" spans="1:5" ht="15.75" thickBot="1" x14ac:dyDescent="0.3">
      <c r="A21" s="72">
        <v>50407</v>
      </c>
      <c r="B21" s="73" t="s">
        <v>76</v>
      </c>
      <c r="C21" s="74">
        <v>10000</v>
      </c>
      <c r="D21" s="74">
        <v>13000</v>
      </c>
      <c r="E21" s="74">
        <v>13000</v>
      </c>
    </row>
    <row r="22" spans="1:5" ht="15.75" thickBot="1" x14ac:dyDescent="0.3">
      <c r="A22" s="72">
        <v>50408</v>
      </c>
      <c r="B22" s="73" t="s">
        <v>77</v>
      </c>
      <c r="C22" s="74">
        <v>15000</v>
      </c>
      <c r="D22" s="74">
        <v>18000</v>
      </c>
      <c r="E22" s="74">
        <v>18000</v>
      </c>
    </row>
    <row r="23" spans="1:5" ht="15.75" thickBot="1" x14ac:dyDescent="0.3">
      <c r="A23" s="72">
        <v>50403</v>
      </c>
      <c r="B23" s="73" t="s">
        <v>78</v>
      </c>
      <c r="C23" s="74">
        <v>5000</v>
      </c>
      <c r="D23" s="74">
        <v>5000</v>
      </c>
      <c r="E23" s="74">
        <v>5000</v>
      </c>
    </row>
    <row r="24" spans="1:5" ht="15.75" thickBot="1" x14ac:dyDescent="0.3">
      <c r="A24" s="72">
        <v>50405</v>
      </c>
      <c r="B24" s="73" t="s">
        <v>79</v>
      </c>
      <c r="C24" s="74">
        <v>13000</v>
      </c>
      <c r="D24" s="74">
        <v>16006</v>
      </c>
      <c r="E24" s="74">
        <v>16006</v>
      </c>
    </row>
    <row r="25" spans="1:5" ht="15.75" thickBot="1" x14ac:dyDescent="0.3">
      <c r="A25" s="72">
        <v>50406</v>
      </c>
      <c r="B25" s="73" t="s">
        <v>80</v>
      </c>
      <c r="C25" s="74">
        <v>2000</v>
      </c>
      <c r="D25" s="74">
        <v>3000</v>
      </c>
      <c r="E25" s="74">
        <v>3000</v>
      </c>
    </row>
    <row r="26" spans="1:5" ht="15.75" thickBot="1" x14ac:dyDescent="0.3">
      <c r="A26" s="72"/>
      <c r="B26" s="73" t="s">
        <v>201</v>
      </c>
      <c r="C26" s="74">
        <f>101000-3930</f>
        <v>97070</v>
      </c>
      <c r="D26" s="74">
        <f>102000-3811</f>
        <v>98189</v>
      </c>
      <c r="E26" s="74">
        <f>102000-3811</f>
        <v>98189</v>
      </c>
    </row>
    <row r="27" spans="1:5" ht="15.75" thickBot="1" x14ac:dyDescent="0.3">
      <c r="A27" s="72">
        <v>40110</v>
      </c>
      <c r="B27" s="73" t="s">
        <v>81</v>
      </c>
      <c r="C27" s="74">
        <v>530059</v>
      </c>
      <c r="D27" s="74">
        <v>568488</v>
      </c>
      <c r="E27" s="74">
        <v>574173.5</v>
      </c>
    </row>
    <row r="28" spans="1:5" ht="15.75" thickBot="1" x14ac:dyDescent="0.3">
      <c r="A28" s="72"/>
      <c r="B28" s="73" t="s">
        <v>82</v>
      </c>
      <c r="C28" s="74">
        <v>133825</v>
      </c>
      <c r="D28" s="74">
        <v>161928</v>
      </c>
      <c r="E28" s="74">
        <v>162737.5</v>
      </c>
    </row>
    <row r="29" spans="1:5" ht="15.75" thickBot="1" x14ac:dyDescent="0.3">
      <c r="A29" s="69"/>
      <c r="B29" s="76" t="s">
        <v>106</v>
      </c>
      <c r="C29" s="77">
        <v>6000</v>
      </c>
      <c r="D29" s="77">
        <v>7000</v>
      </c>
      <c r="E29" s="77">
        <v>7000</v>
      </c>
    </row>
    <row r="30" spans="1:5" ht="15.75" thickBot="1" x14ac:dyDescent="0.3">
      <c r="A30" s="72">
        <v>50019</v>
      </c>
      <c r="B30" s="78" t="s">
        <v>71</v>
      </c>
      <c r="C30" s="74">
        <v>6000</v>
      </c>
      <c r="D30" s="74">
        <v>7000</v>
      </c>
      <c r="E30" s="74">
        <v>7000</v>
      </c>
    </row>
    <row r="31" spans="1:5" ht="15.75" thickBot="1" x14ac:dyDescent="0.3">
      <c r="A31" s="79" t="s">
        <v>83</v>
      </c>
      <c r="B31" s="80" t="s">
        <v>84</v>
      </c>
      <c r="C31" s="81">
        <f>C3+C5+C8+C10+C17</f>
        <v>1427784</v>
      </c>
      <c r="D31" s="81">
        <f>D3+D5+D8+D10+D17</f>
        <v>1536711</v>
      </c>
      <c r="E31" s="81">
        <f>E3+E5+E8+E10+E17</f>
        <v>1543206</v>
      </c>
    </row>
    <row r="32" spans="1:5" ht="15.75" thickBot="1" x14ac:dyDescent="0.3">
      <c r="A32" s="82"/>
      <c r="B32" s="83" t="s">
        <v>85</v>
      </c>
      <c r="C32" s="84"/>
      <c r="D32" s="84"/>
      <c r="E32" s="84"/>
    </row>
    <row r="33" spans="1:5" ht="15.75" thickBot="1" x14ac:dyDescent="0.3">
      <c r="A33" s="82">
        <v>50409</v>
      </c>
      <c r="B33" s="73" t="s">
        <v>86</v>
      </c>
      <c r="C33" s="74">
        <v>25000</v>
      </c>
      <c r="D33" s="74">
        <v>26000</v>
      </c>
      <c r="E33" s="74">
        <v>26000</v>
      </c>
    </row>
    <row r="34" spans="1:5" ht="15.75" thickBot="1" x14ac:dyDescent="0.3">
      <c r="A34" s="82">
        <v>50409</v>
      </c>
      <c r="B34" s="73" t="s">
        <v>87</v>
      </c>
      <c r="C34" s="84">
        <v>3000</v>
      </c>
      <c r="D34" s="84">
        <v>3000</v>
      </c>
      <c r="E34" s="84">
        <v>3000</v>
      </c>
    </row>
    <row r="35" spans="1:5" ht="15.75" thickBot="1" x14ac:dyDescent="0.3">
      <c r="A35" s="82">
        <v>50409</v>
      </c>
      <c r="B35" s="73" t="s">
        <v>88</v>
      </c>
      <c r="C35" s="74">
        <v>48000</v>
      </c>
      <c r="D35" s="74">
        <v>50000</v>
      </c>
      <c r="E35" s="74">
        <v>50000</v>
      </c>
    </row>
    <row r="36" spans="1:5" ht="15.75" thickBot="1" x14ac:dyDescent="0.3">
      <c r="A36" s="79" t="s">
        <v>89</v>
      </c>
      <c r="B36" s="80" t="s">
        <v>90</v>
      </c>
      <c r="C36" s="81">
        <f>C33+C34+C35</f>
        <v>76000</v>
      </c>
      <c r="D36" s="81">
        <f>D33+D34+D35</f>
        <v>79000</v>
      </c>
      <c r="E36" s="81">
        <f>E33+E34+E35</f>
        <v>79000</v>
      </c>
    </row>
    <row r="37" spans="1:5" ht="15.75" thickBot="1" x14ac:dyDescent="0.3">
      <c r="A37" s="82"/>
      <c r="B37" s="83" t="s">
        <v>91</v>
      </c>
      <c r="C37" s="84"/>
      <c r="D37" s="84"/>
      <c r="E37" s="84"/>
    </row>
    <row r="38" spans="1:5" ht="15.75" thickBot="1" x14ac:dyDescent="0.3">
      <c r="A38" s="82">
        <v>50409</v>
      </c>
      <c r="B38" s="73" t="s">
        <v>92</v>
      </c>
      <c r="C38" s="74">
        <v>42000</v>
      </c>
      <c r="D38" s="74">
        <v>47000</v>
      </c>
      <c r="E38" s="74">
        <v>47000</v>
      </c>
    </row>
    <row r="39" spans="1:5" ht="15.75" thickBot="1" x14ac:dyDescent="0.3">
      <c r="A39" s="79" t="s">
        <v>93</v>
      </c>
      <c r="B39" s="80" t="s">
        <v>94</v>
      </c>
      <c r="C39" s="81">
        <f>C38</f>
        <v>42000</v>
      </c>
      <c r="D39" s="81">
        <f t="shared" ref="D39:E39" si="5">D38</f>
        <v>47000</v>
      </c>
      <c r="E39" s="81">
        <f t="shared" si="5"/>
        <v>47000</v>
      </c>
    </row>
    <row r="40" spans="1:5" ht="15.75" thickBot="1" x14ac:dyDescent="0.3">
      <c r="A40" s="150" t="s">
        <v>95</v>
      </c>
      <c r="B40" s="151"/>
      <c r="C40" s="85">
        <f>C3+C5+C8+C10+C17+C29+C36+C39</f>
        <v>1551784</v>
      </c>
      <c r="D40" s="85">
        <f>D31+D36+D39</f>
        <v>1662711</v>
      </c>
      <c r="E40" s="85">
        <f>E31+E36+E39</f>
        <v>1669206</v>
      </c>
    </row>
    <row r="41" spans="1:5" x14ac:dyDescent="0.25">
      <c r="C41" s="43"/>
      <c r="D41" s="43"/>
      <c r="E41" s="43"/>
    </row>
    <row r="43" spans="1:5" x14ac:dyDescent="0.25">
      <c r="A43" t="s">
        <v>198</v>
      </c>
      <c r="B43" s="43">
        <f>C40</f>
        <v>1551784</v>
      </c>
    </row>
    <row r="44" spans="1:5" x14ac:dyDescent="0.25">
      <c r="A44" t="s">
        <v>199</v>
      </c>
      <c r="B44" s="43">
        <f>D40</f>
        <v>1662711</v>
      </c>
    </row>
    <row r="45" spans="1:5" x14ac:dyDescent="0.25">
      <c r="A45" t="s">
        <v>200</v>
      </c>
      <c r="B45" s="43">
        <f>E40</f>
        <v>1669206</v>
      </c>
    </row>
  </sheetData>
  <mergeCells count="1">
    <mergeCell ref="A40:B40"/>
  </mergeCells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A2" sqref="A2"/>
    </sheetView>
  </sheetViews>
  <sheetFormatPr defaultRowHeight="15" x14ac:dyDescent="0.25"/>
  <cols>
    <col min="1" max="1" width="4" customWidth="1"/>
    <col min="2" max="2" width="2.5703125" customWidth="1"/>
    <col min="3" max="3" width="21" customWidth="1"/>
    <col min="4" max="5" width="14.7109375" customWidth="1"/>
    <col min="6" max="6" width="14.5703125" customWidth="1"/>
    <col min="7" max="7" width="15" customWidth="1"/>
    <col min="9" max="9" width="9.85546875" bestFit="1" customWidth="1"/>
  </cols>
  <sheetData>
    <row r="1" spans="1:10" ht="15.75" thickBot="1" x14ac:dyDescent="0.3">
      <c r="A1" t="s">
        <v>40</v>
      </c>
    </row>
    <row r="2" spans="1:10" ht="45" customHeight="1" thickBot="1" x14ac:dyDescent="0.3">
      <c r="A2" s="4"/>
      <c r="B2" s="154" t="s">
        <v>6</v>
      </c>
      <c r="C2" s="154"/>
      <c r="D2" s="40">
        <v>2025</v>
      </c>
      <c r="E2" s="40" t="s">
        <v>118</v>
      </c>
      <c r="F2" s="40" t="s">
        <v>119</v>
      </c>
      <c r="G2" s="42" t="s">
        <v>120</v>
      </c>
    </row>
    <row r="3" spans="1:10" ht="16.5" thickBot="1" x14ac:dyDescent="0.3">
      <c r="A3" s="5"/>
      <c r="B3" s="152"/>
      <c r="C3" s="152"/>
      <c r="D3" s="7"/>
      <c r="E3" s="6"/>
      <c r="F3" s="6"/>
      <c r="G3" s="41"/>
    </row>
    <row r="4" spans="1:10" ht="42.75" customHeight="1" thickBot="1" x14ac:dyDescent="0.3">
      <c r="A4" s="36">
        <v>1</v>
      </c>
      <c r="B4" s="153" t="s">
        <v>7</v>
      </c>
      <c r="C4" s="153"/>
      <c r="D4" s="8">
        <f>D5+D6</f>
        <v>16168653</v>
      </c>
      <c r="E4" s="8">
        <f>E5+E6</f>
        <v>16338898</v>
      </c>
      <c r="F4" s="8">
        <f>F5+F6</f>
        <v>17130332</v>
      </c>
      <c r="G4" s="8">
        <f>G5+G6</f>
        <v>17939537</v>
      </c>
    </row>
    <row r="5" spans="1:10" ht="30" customHeight="1" thickBot="1" x14ac:dyDescent="0.3">
      <c r="A5" s="15">
        <v>1</v>
      </c>
      <c r="B5" s="16"/>
      <c r="C5" s="9" t="s">
        <v>8</v>
      </c>
      <c r="D5" s="17">
        <v>1495504</v>
      </c>
      <c r="E5" s="17">
        <v>1551784</v>
      </c>
      <c r="F5" s="17">
        <v>1662711</v>
      </c>
      <c r="G5" s="17">
        <v>1669206</v>
      </c>
      <c r="I5" s="43"/>
    </row>
    <row r="6" spans="1:10" ht="43.5" thickBot="1" x14ac:dyDescent="0.3">
      <c r="A6" s="18">
        <v>1</v>
      </c>
      <c r="B6" s="19"/>
      <c r="C6" s="10" t="s">
        <v>16</v>
      </c>
      <c r="D6" s="20">
        <v>14673149</v>
      </c>
      <c r="E6" s="20">
        <f>6571819+6180993+1884302+150000</f>
        <v>14787114</v>
      </c>
      <c r="F6" s="20">
        <f>6960367+6366423+1940831+200000</f>
        <v>15467621</v>
      </c>
      <c r="G6" s="20">
        <f>7513860+6557415+1999056+200000</f>
        <v>16270331</v>
      </c>
    </row>
    <row r="7" spans="1:10" ht="43.5" thickBot="1" x14ac:dyDescent="0.3">
      <c r="A7" s="37">
        <v>2</v>
      </c>
      <c r="B7" s="38"/>
      <c r="C7" s="39" t="s">
        <v>9</v>
      </c>
      <c r="D7" s="8">
        <f>D8+D13</f>
        <v>16168653</v>
      </c>
      <c r="E7" s="8">
        <f>E8+E13</f>
        <v>16338898</v>
      </c>
      <c r="F7" s="8">
        <f>F8+F13</f>
        <v>17130332</v>
      </c>
      <c r="G7" s="8">
        <f>G8+G13</f>
        <v>17939537</v>
      </c>
    </row>
    <row r="8" spans="1:10" ht="33" customHeight="1" thickBot="1" x14ac:dyDescent="0.3">
      <c r="A8" s="21">
        <v>2.1</v>
      </c>
      <c r="B8" s="22"/>
      <c r="C8" s="11" t="s">
        <v>10</v>
      </c>
      <c r="D8" s="12">
        <f>D9+D10+D11+D12</f>
        <v>11762032</v>
      </c>
      <c r="E8" s="12">
        <f>E9+E10+E11+E12</f>
        <v>12337100</v>
      </c>
      <c r="F8" s="12">
        <f>F9+F10+F11+F12</f>
        <v>12535494</v>
      </c>
      <c r="G8" s="12">
        <f>G9+G10+G11+G12</f>
        <v>12663010</v>
      </c>
    </row>
    <row r="9" spans="1:10" ht="26.25" customHeight="1" thickBot="1" x14ac:dyDescent="0.3">
      <c r="A9" s="23"/>
      <c r="B9" s="24"/>
      <c r="C9" s="13" t="s">
        <v>11</v>
      </c>
      <c r="D9" s="25">
        <v>8892032</v>
      </c>
      <c r="E9" s="26">
        <v>9567100</v>
      </c>
      <c r="F9" s="26">
        <v>9614935</v>
      </c>
      <c r="G9" s="26">
        <v>9663010</v>
      </c>
      <c r="I9" s="43"/>
      <c r="J9" s="43"/>
    </row>
    <row r="10" spans="1:10" ht="27" customHeight="1" thickBot="1" x14ac:dyDescent="0.3">
      <c r="A10" s="27"/>
      <c r="B10" s="28"/>
      <c r="C10" s="14" t="s">
        <v>12</v>
      </c>
      <c r="D10" s="25">
        <v>1700000</v>
      </c>
      <c r="E10" s="26">
        <v>1600000</v>
      </c>
      <c r="F10" s="26">
        <f>1700000+20559</f>
        <v>1720559</v>
      </c>
      <c r="G10" s="26">
        <v>1800000</v>
      </c>
    </row>
    <row r="11" spans="1:10" ht="25.5" customHeight="1" thickBot="1" x14ac:dyDescent="0.3">
      <c r="A11" s="27"/>
      <c r="B11" s="28"/>
      <c r="C11" s="14" t="s">
        <v>13</v>
      </c>
      <c r="D11" s="25">
        <v>370000</v>
      </c>
      <c r="E11" s="26">
        <v>370000</v>
      </c>
      <c r="F11" s="26">
        <v>400000</v>
      </c>
      <c r="G11" s="26">
        <v>400000</v>
      </c>
      <c r="I11" s="43"/>
      <c r="J11" s="43"/>
    </row>
    <row r="12" spans="1:10" ht="27" customHeight="1" thickBot="1" x14ac:dyDescent="0.3">
      <c r="A12" s="30"/>
      <c r="B12" s="29"/>
      <c r="C12" s="14" t="s">
        <v>14</v>
      </c>
      <c r="D12" s="25">
        <v>800000</v>
      </c>
      <c r="E12" s="26">
        <v>800000</v>
      </c>
      <c r="F12" s="26">
        <v>800000</v>
      </c>
      <c r="G12" s="26">
        <v>800000</v>
      </c>
    </row>
    <row r="13" spans="1:10" ht="27" customHeight="1" thickBot="1" x14ac:dyDescent="0.3">
      <c r="A13" s="31">
        <v>2.2999999999999998</v>
      </c>
      <c r="B13" s="32"/>
      <c r="C13" s="11" t="s">
        <v>15</v>
      </c>
      <c r="D13" s="33">
        <v>4406621</v>
      </c>
      <c r="E13" s="34">
        <v>4001798</v>
      </c>
      <c r="F13" s="35">
        <v>4594838</v>
      </c>
      <c r="G13" s="35">
        <v>5276527</v>
      </c>
      <c r="I13" s="43"/>
      <c r="J13" s="43"/>
    </row>
    <row r="16" spans="1:10" ht="15.75" thickBot="1" x14ac:dyDescent="0.3">
      <c r="C16" s="13" t="s">
        <v>11</v>
      </c>
      <c r="D16" s="43">
        <f>E9</f>
        <v>9567100</v>
      </c>
    </row>
    <row r="17" spans="3:4" ht="15.75" thickBot="1" x14ac:dyDescent="0.3">
      <c r="C17" s="14" t="s">
        <v>12</v>
      </c>
      <c r="D17" s="43">
        <f>E10</f>
        <v>1600000</v>
      </c>
    </row>
    <row r="18" spans="3:4" ht="15.75" thickBot="1" x14ac:dyDescent="0.3">
      <c r="C18" s="14" t="s">
        <v>13</v>
      </c>
      <c r="D18" s="43">
        <f>E11</f>
        <v>370000</v>
      </c>
    </row>
    <row r="19" spans="3:4" ht="15.75" thickBot="1" x14ac:dyDescent="0.3">
      <c r="C19" s="14" t="s">
        <v>14</v>
      </c>
      <c r="D19" s="43">
        <f>E12</f>
        <v>800000</v>
      </c>
    </row>
    <row r="20" spans="3:4" ht="15.75" thickBot="1" x14ac:dyDescent="0.3">
      <c r="C20" s="11" t="s">
        <v>15</v>
      </c>
      <c r="D20" s="43">
        <f>E13</f>
        <v>4001798</v>
      </c>
    </row>
  </sheetData>
  <mergeCells count="3">
    <mergeCell ref="B3:C3"/>
    <mergeCell ref="B4:C4"/>
    <mergeCell ref="B2:C2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zoomScaleNormal="100" workbookViewId="0">
      <selection activeCell="A3" sqref="A3:A4"/>
    </sheetView>
  </sheetViews>
  <sheetFormatPr defaultRowHeight="15" x14ac:dyDescent="0.25"/>
  <cols>
    <col min="1" max="1" width="19.85546875" customWidth="1"/>
    <col min="2" max="2" width="10" customWidth="1"/>
    <col min="3" max="3" width="13.85546875" customWidth="1"/>
    <col min="4" max="4" width="16.28515625" customWidth="1"/>
    <col min="5" max="5" width="12.42578125" customWidth="1"/>
    <col min="6" max="6" width="11.28515625" customWidth="1"/>
    <col min="7" max="7" width="13.5703125" customWidth="1"/>
    <col min="8" max="8" width="14.28515625" customWidth="1"/>
  </cols>
  <sheetData>
    <row r="2" spans="1:8" x14ac:dyDescent="0.25">
      <c r="A2" s="107" t="s">
        <v>123</v>
      </c>
      <c r="B2" s="107"/>
    </row>
    <row r="3" spans="1:8" ht="15.75" customHeight="1" x14ac:dyDescent="0.25">
      <c r="A3" s="155" t="s">
        <v>17</v>
      </c>
      <c r="B3" s="108"/>
      <c r="C3" s="157">
        <v>2025</v>
      </c>
      <c r="D3" s="157"/>
      <c r="E3" s="157"/>
      <c r="F3" s="157"/>
      <c r="G3" s="157"/>
      <c r="H3" s="44"/>
    </row>
    <row r="4" spans="1:8" ht="26.25" x14ac:dyDescent="0.25">
      <c r="A4" s="156"/>
      <c r="B4" s="109" t="s">
        <v>124</v>
      </c>
      <c r="C4" s="44" t="s">
        <v>18</v>
      </c>
      <c r="D4" s="47" t="s">
        <v>19</v>
      </c>
      <c r="E4" s="47" t="s">
        <v>20</v>
      </c>
      <c r="F4" s="47" t="s">
        <v>21</v>
      </c>
      <c r="G4" s="44" t="s">
        <v>22</v>
      </c>
      <c r="H4" s="47" t="s">
        <v>23</v>
      </c>
    </row>
    <row r="5" spans="1:8" ht="15.75" customHeight="1" x14ac:dyDescent="0.25">
      <c r="A5" s="45" t="s">
        <v>24</v>
      </c>
      <c r="B5" s="45">
        <v>21</v>
      </c>
      <c r="C5" s="90">
        <v>237141</v>
      </c>
      <c r="D5" s="90">
        <v>16000</v>
      </c>
      <c r="E5" s="90"/>
      <c r="F5" s="90">
        <v>295000</v>
      </c>
      <c r="G5" s="89"/>
      <c r="H5" s="90">
        <f>C5+D5+E5+F5+G5</f>
        <v>548141</v>
      </c>
    </row>
    <row r="6" spans="1:8" ht="25.5" customHeight="1" x14ac:dyDescent="0.25">
      <c r="A6" s="45" t="s">
        <v>25</v>
      </c>
      <c r="B6" s="45">
        <v>27</v>
      </c>
      <c r="C6" s="90">
        <v>261547</v>
      </c>
      <c r="D6" s="90">
        <v>5000</v>
      </c>
      <c r="E6" s="90"/>
      <c r="F6" s="90"/>
      <c r="G6" s="89"/>
      <c r="H6" s="90">
        <f t="shared" ref="H6:H21" si="0">C6+D6+E6+F6+G6</f>
        <v>266547</v>
      </c>
    </row>
    <row r="7" spans="1:8" ht="25.5" customHeight="1" x14ac:dyDescent="0.25">
      <c r="A7" s="45" t="s">
        <v>26</v>
      </c>
      <c r="B7" s="45">
        <v>38</v>
      </c>
      <c r="C7" s="90">
        <v>264638</v>
      </c>
      <c r="D7" s="90">
        <v>80000</v>
      </c>
      <c r="E7" s="90"/>
      <c r="F7" s="90"/>
      <c r="G7" s="89">
        <v>40000</v>
      </c>
      <c r="H7" s="90">
        <f t="shared" si="0"/>
        <v>384638</v>
      </c>
    </row>
    <row r="8" spans="1:8" ht="19.5" customHeight="1" x14ac:dyDescent="0.25">
      <c r="A8" s="45" t="s">
        <v>39</v>
      </c>
      <c r="B8" s="45">
        <v>1</v>
      </c>
      <c r="C8" s="90">
        <v>9393</v>
      </c>
      <c r="D8" s="90">
        <v>500</v>
      </c>
      <c r="E8" s="90"/>
      <c r="F8" s="90">
        <v>4000</v>
      </c>
      <c r="G8" s="89"/>
      <c r="H8" s="90">
        <f t="shared" si="0"/>
        <v>13893</v>
      </c>
    </row>
    <row r="9" spans="1:8" ht="15.75" customHeight="1" x14ac:dyDescent="0.25">
      <c r="A9" s="45" t="s">
        <v>27</v>
      </c>
      <c r="B9" s="45">
        <v>8</v>
      </c>
      <c r="C9" s="90">
        <v>75812</v>
      </c>
      <c r="D9" s="90">
        <v>32000</v>
      </c>
      <c r="E9" s="90"/>
      <c r="F9" s="90"/>
      <c r="G9" s="89"/>
      <c r="H9" s="90">
        <f t="shared" si="0"/>
        <v>107812</v>
      </c>
    </row>
    <row r="10" spans="1:8" ht="15.75" customHeight="1" x14ac:dyDescent="0.25">
      <c r="A10" s="45" t="s">
        <v>28</v>
      </c>
      <c r="B10" s="45">
        <v>21</v>
      </c>
      <c r="C10" s="90">
        <v>174628</v>
      </c>
      <c r="D10" s="90">
        <v>47137</v>
      </c>
      <c r="E10" s="90">
        <v>242000</v>
      </c>
      <c r="F10" s="90"/>
      <c r="G10" s="89"/>
      <c r="H10" s="90">
        <f t="shared" si="0"/>
        <v>463765</v>
      </c>
    </row>
    <row r="11" spans="1:8" ht="25.5" customHeight="1" x14ac:dyDescent="0.25">
      <c r="A11" s="45" t="s">
        <v>29</v>
      </c>
      <c r="B11" s="45">
        <v>3</v>
      </c>
      <c r="C11" s="90">
        <v>29037</v>
      </c>
      <c r="D11" s="90">
        <v>395692</v>
      </c>
      <c r="E11" s="90"/>
      <c r="F11" s="90"/>
      <c r="G11" s="89">
        <v>653000</v>
      </c>
      <c r="H11" s="90">
        <f t="shared" si="0"/>
        <v>1077729</v>
      </c>
    </row>
    <row r="12" spans="1:8" ht="27" customHeight="1" x14ac:dyDescent="0.25">
      <c r="A12" s="45" t="s">
        <v>30</v>
      </c>
      <c r="B12" s="45">
        <v>15</v>
      </c>
      <c r="C12" s="90">
        <v>156501</v>
      </c>
      <c r="D12" s="90">
        <v>15000</v>
      </c>
      <c r="E12" s="90"/>
      <c r="F12" s="90"/>
      <c r="G12" s="89"/>
      <c r="H12" s="90">
        <f t="shared" si="0"/>
        <v>171501</v>
      </c>
    </row>
    <row r="13" spans="1:8" ht="25.5" customHeight="1" x14ac:dyDescent="0.25">
      <c r="A13" s="45" t="s">
        <v>31</v>
      </c>
      <c r="B13" s="45">
        <v>4</v>
      </c>
      <c r="C13" s="90">
        <v>34186</v>
      </c>
      <c r="D13" s="90">
        <v>5000</v>
      </c>
      <c r="E13" s="90"/>
      <c r="F13" s="90"/>
      <c r="G13" s="89"/>
      <c r="H13" s="90">
        <f t="shared" si="0"/>
        <v>39186</v>
      </c>
    </row>
    <row r="14" spans="1:8" ht="15" customHeight="1" x14ac:dyDescent="0.25">
      <c r="A14" s="45" t="s">
        <v>32</v>
      </c>
      <c r="B14" s="45">
        <v>5</v>
      </c>
      <c r="C14" s="90">
        <v>48362</v>
      </c>
      <c r="D14" s="90">
        <v>13000</v>
      </c>
      <c r="E14" s="90"/>
      <c r="F14" s="90">
        <v>231000</v>
      </c>
      <c r="G14" s="89">
        <v>140000</v>
      </c>
      <c r="H14" s="90">
        <f t="shared" si="0"/>
        <v>432362</v>
      </c>
    </row>
    <row r="15" spans="1:8" ht="25.5" customHeight="1" x14ac:dyDescent="0.25">
      <c r="A15" s="45" t="s">
        <v>33</v>
      </c>
      <c r="B15" s="45">
        <v>9</v>
      </c>
      <c r="C15" s="90">
        <v>71730</v>
      </c>
      <c r="D15" s="90">
        <v>15000</v>
      </c>
      <c r="E15" s="90"/>
      <c r="F15" s="90"/>
      <c r="G15" s="89">
        <v>12000</v>
      </c>
      <c r="H15" s="90">
        <f t="shared" si="0"/>
        <v>98730</v>
      </c>
    </row>
    <row r="16" spans="1:8" ht="25.5" customHeight="1" x14ac:dyDescent="0.25">
      <c r="A16" s="46" t="s">
        <v>34</v>
      </c>
      <c r="B16" s="46">
        <v>6</v>
      </c>
      <c r="C16" s="90">
        <v>60113</v>
      </c>
      <c r="D16" s="90">
        <v>63200</v>
      </c>
      <c r="E16" s="90"/>
      <c r="F16" s="90"/>
      <c r="G16" s="89">
        <v>2971621</v>
      </c>
      <c r="H16" s="90">
        <f t="shared" si="0"/>
        <v>3094934</v>
      </c>
    </row>
    <row r="17" spans="1:8" ht="19.5" customHeight="1" x14ac:dyDescent="0.25">
      <c r="A17" s="46" t="s">
        <v>35</v>
      </c>
      <c r="B17" s="46">
        <v>143</v>
      </c>
      <c r="C17" s="90">
        <v>1430970</v>
      </c>
      <c r="D17" s="90">
        <v>450000</v>
      </c>
      <c r="E17" s="90">
        <v>43000</v>
      </c>
      <c r="F17" s="89"/>
      <c r="G17" s="89">
        <v>70000</v>
      </c>
      <c r="H17" s="90">
        <f t="shared" si="0"/>
        <v>1993970</v>
      </c>
    </row>
    <row r="18" spans="1:8" ht="15.75" customHeight="1" x14ac:dyDescent="0.25">
      <c r="A18" s="46" t="s">
        <v>36</v>
      </c>
      <c r="B18" s="46">
        <v>11</v>
      </c>
      <c r="C18" s="90">
        <v>90104</v>
      </c>
      <c r="D18" s="90">
        <v>12000</v>
      </c>
      <c r="E18" s="90">
        <v>5000</v>
      </c>
      <c r="F18" s="90"/>
      <c r="G18" s="89"/>
      <c r="H18" s="90">
        <f t="shared" si="0"/>
        <v>107104</v>
      </c>
    </row>
    <row r="19" spans="1:8" ht="25.9" customHeight="1" x14ac:dyDescent="0.25">
      <c r="A19" s="46" t="s">
        <v>107</v>
      </c>
      <c r="B19" s="46">
        <v>13</v>
      </c>
      <c r="C19" s="90">
        <v>71000</v>
      </c>
      <c r="D19" s="90">
        <v>45000</v>
      </c>
      <c r="E19" s="90">
        <v>5000</v>
      </c>
      <c r="F19" s="90"/>
      <c r="G19" s="89">
        <v>260000</v>
      </c>
      <c r="H19" s="90">
        <f>C19+D19+E19+F19+G19</f>
        <v>381000</v>
      </c>
    </row>
    <row r="20" spans="1:8" ht="15.75" customHeight="1" x14ac:dyDescent="0.25">
      <c r="A20" s="46" t="s">
        <v>37</v>
      </c>
      <c r="B20" s="46">
        <v>13</v>
      </c>
      <c r="C20" s="90">
        <v>101650</v>
      </c>
      <c r="D20" s="90">
        <v>48000</v>
      </c>
      <c r="E20" s="90"/>
      <c r="F20" s="90">
        <v>120000</v>
      </c>
      <c r="G20" s="89">
        <v>50000</v>
      </c>
      <c r="H20" s="90">
        <f t="shared" si="0"/>
        <v>319650</v>
      </c>
    </row>
    <row r="21" spans="1:8" ht="25.5" customHeight="1" x14ac:dyDescent="0.25">
      <c r="A21" s="46" t="s">
        <v>38</v>
      </c>
      <c r="B21" s="46">
        <v>647</v>
      </c>
      <c r="C21" s="90">
        <v>5775220</v>
      </c>
      <c r="D21" s="90">
        <v>457471</v>
      </c>
      <c r="E21" s="90">
        <v>75000</v>
      </c>
      <c r="F21" s="90">
        <v>150000</v>
      </c>
      <c r="G21" s="89">
        <v>210000</v>
      </c>
      <c r="H21" s="90">
        <f t="shared" si="0"/>
        <v>6667691</v>
      </c>
    </row>
    <row r="22" spans="1:8" s="106" customFormat="1" ht="27" customHeight="1" thickBot="1" x14ac:dyDescent="0.3">
      <c r="A22" s="104" t="s">
        <v>113</v>
      </c>
      <c r="B22" s="116">
        <f>SUM(B5:B21)</f>
        <v>985</v>
      </c>
      <c r="C22" s="105">
        <f t="shared" ref="C22:H22" si="1">SUM(C5:C21)</f>
        <v>8892032</v>
      </c>
      <c r="D22" s="105">
        <f t="shared" si="1"/>
        <v>1700000</v>
      </c>
      <c r="E22" s="105">
        <f t="shared" si="1"/>
        <v>370000</v>
      </c>
      <c r="F22" s="105">
        <f t="shared" si="1"/>
        <v>800000</v>
      </c>
      <c r="G22" s="105">
        <f t="shared" si="1"/>
        <v>4406621</v>
      </c>
      <c r="H22" s="105">
        <f t="shared" si="1"/>
        <v>16168653</v>
      </c>
    </row>
    <row r="24" spans="1:8" x14ac:dyDescent="0.25">
      <c r="C24" s="3"/>
    </row>
  </sheetData>
  <mergeCells count="2">
    <mergeCell ref="A3:A4"/>
    <mergeCell ref="C3:G3"/>
  </mergeCells>
  <pageMargins left="0.11811023622047245" right="0.11811023622047245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zoomScaleNormal="100" workbookViewId="0">
      <selection activeCell="A3" sqref="A3:A4"/>
    </sheetView>
  </sheetViews>
  <sheetFormatPr defaultRowHeight="15" x14ac:dyDescent="0.25"/>
  <cols>
    <col min="1" max="1" width="19.85546875" customWidth="1"/>
    <col min="2" max="2" width="6.7109375" customWidth="1"/>
    <col min="3" max="3" width="13.85546875" customWidth="1"/>
    <col min="4" max="4" width="16.28515625" customWidth="1"/>
    <col min="5" max="5" width="12.42578125" customWidth="1"/>
    <col min="6" max="6" width="11.28515625" customWidth="1"/>
    <col min="7" max="7" width="13.5703125" customWidth="1"/>
    <col min="8" max="8" width="14.28515625" customWidth="1"/>
  </cols>
  <sheetData>
    <row r="2" spans="1:8" x14ac:dyDescent="0.25">
      <c r="A2" s="107" t="s">
        <v>125</v>
      </c>
      <c r="B2" s="107"/>
    </row>
    <row r="3" spans="1:8" ht="15.75" customHeight="1" x14ac:dyDescent="0.25">
      <c r="A3" s="155" t="s">
        <v>17</v>
      </c>
      <c r="B3" s="108"/>
      <c r="C3" s="157">
        <v>2026</v>
      </c>
      <c r="D3" s="157"/>
      <c r="E3" s="157"/>
      <c r="F3" s="157"/>
      <c r="G3" s="157"/>
      <c r="H3" s="44"/>
    </row>
    <row r="4" spans="1:8" ht="39" x14ac:dyDescent="0.25">
      <c r="A4" s="156"/>
      <c r="B4" s="109" t="s">
        <v>124</v>
      </c>
      <c r="C4" s="44" t="s">
        <v>18</v>
      </c>
      <c r="D4" s="47" t="s">
        <v>19</v>
      </c>
      <c r="E4" s="47" t="s">
        <v>20</v>
      </c>
      <c r="F4" s="47" t="s">
        <v>21</v>
      </c>
      <c r="G4" s="44" t="s">
        <v>22</v>
      </c>
      <c r="H4" s="47" t="s">
        <v>23</v>
      </c>
    </row>
    <row r="5" spans="1:8" ht="15.75" customHeight="1" x14ac:dyDescent="0.25">
      <c r="A5" s="45" t="s">
        <v>24</v>
      </c>
      <c r="B5" s="45">
        <v>21</v>
      </c>
      <c r="C5" s="90">
        <v>238318.79399999999</v>
      </c>
      <c r="D5" s="90">
        <v>16000</v>
      </c>
      <c r="E5" s="90"/>
      <c r="F5" s="90">
        <f>295000-3000</f>
        <v>292000</v>
      </c>
      <c r="G5" s="89"/>
      <c r="H5" s="90">
        <f>C5+D5+E5+F5+G5</f>
        <v>546318.79399999999</v>
      </c>
    </row>
    <row r="6" spans="1:8" ht="25.5" customHeight="1" x14ac:dyDescent="0.25">
      <c r="A6" s="45" t="s">
        <v>25</v>
      </c>
      <c r="B6" s="45">
        <v>27</v>
      </c>
      <c r="C6" s="90">
        <v>297195.47999999992</v>
      </c>
      <c r="D6" s="90">
        <v>5000</v>
      </c>
      <c r="E6" s="90"/>
      <c r="F6" s="90"/>
      <c r="G6" s="89"/>
      <c r="H6" s="90">
        <f t="shared" ref="H6:H21" si="0">C6+D6+E6+F6+G6</f>
        <v>302195.47999999992</v>
      </c>
    </row>
    <row r="7" spans="1:8" ht="25.5" customHeight="1" x14ac:dyDescent="0.25">
      <c r="A7" s="45" t="s">
        <v>26</v>
      </c>
      <c r="B7" s="45">
        <v>38</v>
      </c>
      <c r="C7" s="90">
        <v>331004.52000000014</v>
      </c>
      <c r="D7" s="90">
        <v>80000</v>
      </c>
      <c r="E7" s="90"/>
      <c r="F7" s="90"/>
      <c r="G7" s="89">
        <v>55000</v>
      </c>
      <c r="H7" s="90">
        <f t="shared" si="0"/>
        <v>466004.52000000014</v>
      </c>
    </row>
    <row r="8" spans="1:8" ht="19.5" customHeight="1" x14ac:dyDescent="0.25">
      <c r="A8" s="45" t="s">
        <v>39</v>
      </c>
      <c r="B8" s="45">
        <v>1</v>
      </c>
      <c r="C8" s="90">
        <v>10024.0371</v>
      </c>
      <c r="D8" s="90">
        <v>500</v>
      </c>
      <c r="E8" s="90"/>
      <c r="F8" s="90">
        <v>4000</v>
      </c>
      <c r="G8" s="89"/>
      <c r="H8" s="90">
        <f t="shared" si="0"/>
        <v>14524.0371</v>
      </c>
    </row>
    <row r="9" spans="1:8" ht="15.75" customHeight="1" x14ac:dyDescent="0.25">
      <c r="A9" s="45" t="s">
        <v>27</v>
      </c>
      <c r="B9" s="45">
        <v>8</v>
      </c>
      <c r="C9" s="90">
        <v>88840.79819999999</v>
      </c>
      <c r="D9" s="90">
        <v>32000</v>
      </c>
      <c r="E9" s="90"/>
      <c r="F9" s="90"/>
      <c r="G9" s="89"/>
      <c r="H9" s="90">
        <f t="shared" si="0"/>
        <v>120840.79819999999</v>
      </c>
    </row>
    <row r="10" spans="1:8" ht="15.75" customHeight="1" x14ac:dyDescent="0.25">
      <c r="A10" s="45" t="s">
        <v>28</v>
      </c>
      <c r="B10" s="45">
        <v>21</v>
      </c>
      <c r="C10" s="90">
        <v>196510.8885</v>
      </c>
      <c r="D10" s="90">
        <v>46137</v>
      </c>
      <c r="E10" s="90">
        <v>242000</v>
      </c>
      <c r="F10" s="90"/>
      <c r="G10" s="89"/>
      <c r="H10" s="90">
        <f t="shared" si="0"/>
        <v>484647.8885</v>
      </c>
    </row>
    <row r="11" spans="1:8" ht="25.5" customHeight="1" x14ac:dyDescent="0.25">
      <c r="A11" s="45" t="s">
        <v>215</v>
      </c>
      <c r="B11" s="45">
        <v>3</v>
      </c>
      <c r="C11" s="90">
        <v>31603.502700000005</v>
      </c>
      <c r="D11" s="90">
        <v>395692</v>
      </c>
      <c r="E11" s="90"/>
      <c r="F11" s="90"/>
      <c r="G11" s="89">
        <v>645000</v>
      </c>
      <c r="H11" s="90">
        <f t="shared" si="0"/>
        <v>1072295.5027000001</v>
      </c>
    </row>
    <row r="12" spans="1:8" ht="27" customHeight="1" x14ac:dyDescent="0.25">
      <c r="A12" s="45" t="s">
        <v>30</v>
      </c>
      <c r="B12" s="45">
        <v>15</v>
      </c>
      <c r="C12" s="90">
        <v>166468.6735</v>
      </c>
      <c r="D12" s="90">
        <v>15000</v>
      </c>
      <c r="E12" s="90"/>
      <c r="F12" s="90"/>
      <c r="G12" s="89"/>
      <c r="H12" s="90">
        <f t="shared" si="0"/>
        <v>181468.6735</v>
      </c>
    </row>
    <row r="13" spans="1:8" ht="25.5" customHeight="1" x14ac:dyDescent="0.25">
      <c r="A13" s="45" t="s">
        <v>31</v>
      </c>
      <c r="B13" s="45">
        <v>4</v>
      </c>
      <c r="C13" s="90">
        <v>39274.3197</v>
      </c>
      <c r="D13" s="90">
        <v>2000</v>
      </c>
      <c r="E13" s="90"/>
      <c r="F13" s="90">
        <v>3000</v>
      </c>
      <c r="G13" s="89"/>
      <c r="H13" s="90">
        <f t="shared" si="0"/>
        <v>44274.3197</v>
      </c>
    </row>
    <row r="14" spans="1:8" ht="15" customHeight="1" x14ac:dyDescent="0.25">
      <c r="A14" s="45" t="s">
        <v>32</v>
      </c>
      <c r="B14" s="45">
        <v>5</v>
      </c>
      <c r="C14" s="90">
        <v>52942.705199999997</v>
      </c>
      <c r="D14" s="90">
        <v>8000</v>
      </c>
      <c r="E14" s="90"/>
      <c r="F14" s="90">
        <v>231000</v>
      </c>
      <c r="G14" s="89">
        <v>130000</v>
      </c>
      <c r="H14" s="90">
        <f t="shared" si="0"/>
        <v>421942.70519999997</v>
      </c>
    </row>
    <row r="15" spans="1:8" ht="25.5" customHeight="1" x14ac:dyDescent="0.25">
      <c r="A15" s="45" t="s">
        <v>33</v>
      </c>
      <c r="B15" s="45">
        <v>9</v>
      </c>
      <c r="C15" s="90">
        <v>87065.540099999998</v>
      </c>
      <c r="D15" s="90">
        <v>12000</v>
      </c>
      <c r="E15" s="90"/>
      <c r="F15" s="90"/>
      <c r="G15" s="89"/>
      <c r="H15" s="90">
        <f t="shared" si="0"/>
        <v>99065.540099999998</v>
      </c>
    </row>
    <row r="16" spans="1:8" ht="25.5" customHeight="1" x14ac:dyDescent="0.25">
      <c r="A16" s="46" t="s">
        <v>34</v>
      </c>
      <c r="B16" s="46">
        <v>6</v>
      </c>
      <c r="C16" s="90">
        <v>65448.444600000003</v>
      </c>
      <c r="D16" s="90">
        <v>63200</v>
      </c>
      <c r="E16" s="90"/>
      <c r="F16" s="90"/>
      <c r="G16" s="89">
        <v>2861798</v>
      </c>
      <c r="H16" s="90">
        <f t="shared" si="0"/>
        <v>2990446.4446</v>
      </c>
    </row>
    <row r="17" spans="1:8" ht="19.5" customHeight="1" x14ac:dyDescent="0.25">
      <c r="A17" s="46" t="s">
        <v>35</v>
      </c>
      <c r="B17" s="46">
        <v>147</v>
      </c>
      <c r="C17" s="90">
        <f>1517370.8067+4000</f>
        <v>1521370.8067000001</v>
      </c>
      <c r="D17" s="90">
        <v>450000</v>
      </c>
      <c r="E17" s="90">
        <v>43000</v>
      </c>
      <c r="F17" s="89"/>
      <c r="G17" s="89">
        <v>70000</v>
      </c>
      <c r="H17" s="90">
        <f t="shared" si="0"/>
        <v>2084370.8067000001</v>
      </c>
    </row>
    <row r="18" spans="1:8" ht="15.75" customHeight="1" x14ac:dyDescent="0.25">
      <c r="A18" s="46" t="s">
        <v>36</v>
      </c>
      <c r="B18" s="46">
        <v>11</v>
      </c>
      <c r="C18" s="90">
        <v>103408.76699999999</v>
      </c>
      <c r="D18" s="90">
        <v>12000</v>
      </c>
      <c r="E18" s="90">
        <v>5000</v>
      </c>
      <c r="F18" s="90"/>
      <c r="G18" s="89"/>
      <c r="H18" s="90">
        <f t="shared" si="0"/>
        <v>120408.76699999999</v>
      </c>
    </row>
    <row r="19" spans="1:8" ht="25.9" customHeight="1" x14ac:dyDescent="0.25">
      <c r="A19" s="46" t="s">
        <v>107</v>
      </c>
      <c r="B19" s="46">
        <v>13</v>
      </c>
      <c r="C19" s="90">
        <v>127510.05960000001</v>
      </c>
      <c r="D19" s="90">
        <v>45000</v>
      </c>
      <c r="E19" s="90">
        <v>5000</v>
      </c>
      <c r="F19" s="90"/>
      <c r="G19" s="89">
        <v>20000</v>
      </c>
      <c r="H19" s="90">
        <f>C19+D19+E19+F19+G19</f>
        <v>197510.05960000001</v>
      </c>
    </row>
    <row r="20" spans="1:8" ht="15.75" customHeight="1" x14ac:dyDescent="0.25">
      <c r="A20" s="46" t="s">
        <v>37</v>
      </c>
      <c r="B20" s="46">
        <v>13</v>
      </c>
      <c r="C20" s="90">
        <v>123786.98640000001</v>
      </c>
      <c r="D20" s="90">
        <v>48000</v>
      </c>
      <c r="E20" s="90"/>
      <c r="F20" s="90">
        <v>120000</v>
      </c>
      <c r="G20" s="89">
        <v>40000</v>
      </c>
      <c r="H20" s="90">
        <f t="shared" si="0"/>
        <v>331786.98639999999</v>
      </c>
    </row>
    <row r="21" spans="1:8" ht="25.5" customHeight="1" x14ac:dyDescent="0.25">
      <c r="A21" s="46" t="s">
        <v>38</v>
      </c>
      <c r="B21" s="46">
        <v>647</v>
      </c>
      <c r="C21" s="90">
        <f>6090325.6802-4000</f>
        <v>6086325.6802000003</v>
      </c>
      <c r="D21" s="90">
        <f>457471-88000</f>
        <v>369471</v>
      </c>
      <c r="E21" s="90">
        <v>75000</v>
      </c>
      <c r="F21" s="90">
        <v>150000</v>
      </c>
      <c r="G21" s="89">
        <v>180000</v>
      </c>
      <c r="H21" s="90">
        <f t="shared" si="0"/>
        <v>6860796.6802000003</v>
      </c>
    </row>
    <row r="22" spans="1:8" s="106" customFormat="1" ht="27" customHeight="1" thickBot="1" x14ac:dyDescent="0.3">
      <c r="A22" s="104" t="s">
        <v>113</v>
      </c>
      <c r="B22" s="116">
        <f>SUM(B5:B21)</f>
        <v>989</v>
      </c>
      <c r="C22" s="105">
        <f t="shared" ref="C22:H22" si="1">SUM(C5:C21)</f>
        <v>9567100.0034999996</v>
      </c>
      <c r="D22" s="105">
        <f t="shared" si="1"/>
        <v>1600000</v>
      </c>
      <c r="E22" s="105">
        <f t="shared" si="1"/>
        <v>370000</v>
      </c>
      <c r="F22" s="105">
        <f t="shared" si="1"/>
        <v>800000</v>
      </c>
      <c r="G22" s="105">
        <f t="shared" si="1"/>
        <v>4001798</v>
      </c>
      <c r="H22" s="105">
        <f t="shared" si="1"/>
        <v>16338898.0035</v>
      </c>
    </row>
    <row r="23" spans="1:8" x14ac:dyDescent="0.25">
      <c r="C23" s="26"/>
    </row>
    <row r="24" spans="1:8" x14ac:dyDescent="0.25">
      <c r="C24" s="3"/>
      <c r="D24" s="148"/>
      <c r="E24" s="3"/>
    </row>
    <row r="25" spans="1:8" x14ac:dyDescent="0.25">
      <c r="C25" s="3"/>
    </row>
  </sheetData>
  <mergeCells count="2">
    <mergeCell ref="A3:A4"/>
    <mergeCell ref="C3:G3"/>
  </mergeCells>
  <pageMargins left="0.11811023622047245" right="0.11811023622047245" top="0.74803149606299213" bottom="0.74803149606299213" header="0.31496062992125984" footer="0.31496062992125984"/>
  <pageSetup paperSize="9" scale="92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zoomScaleNormal="100" workbookViewId="0">
      <selection activeCell="A3" sqref="A3:A4"/>
    </sheetView>
  </sheetViews>
  <sheetFormatPr defaultRowHeight="15" x14ac:dyDescent="0.25"/>
  <cols>
    <col min="1" max="1" width="19.85546875" customWidth="1"/>
    <col min="2" max="2" width="10" customWidth="1"/>
    <col min="3" max="3" width="13.85546875" customWidth="1"/>
    <col min="4" max="4" width="16.28515625" customWidth="1"/>
    <col min="5" max="5" width="12.42578125" customWidth="1"/>
    <col min="6" max="6" width="11.28515625" customWidth="1"/>
    <col min="7" max="7" width="13.5703125" customWidth="1"/>
    <col min="8" max="8" width="14.28515625" customWidth="1"/>
    <col min="11" max="11" width="11.140625" bestFit="1" customWidth="1"/>
  </cols>
  <sheetData>
    <row r="2" spans="1:8" x14ac:dyDescent="0.25">
      <c r="A2" s="107" t="s">
        <v>126</v>
      </c>
      <c r="B2" s="107"/>
    </row>
    <row r="3" spans="1:8" ht="15.75" customHeight="1" x14ac:dyDescent="0.25">
      <c r="A3" s="155" t="s">
        <v>17</v>
      </c>
      <c r="B3" s="108"/>
      <c r="C3" s="157">
        <v>2027</v>
      </c>
      <c r="D3" s="157"/>
      <c r="E3" s="157"/>
      <c r="F3" s="157"/>
      <c r="G3" s="157"/>
      <c r="H3" s="44"/>
    </row>
    <row r="4" spans="1:8" ht="26.25" x14ac:dyDescent="0.25">
      <c r="A4" s="156"/>
      <c r="B4" s="109" t="s">
        <v>124</v>
      </c>
      <c r="C4" s="44" t="s">
        <v>18</v>
      </c>
      <c r="D4" s="47" t="s">
        <v>19</v>
      </c>
      <c r="E4" s="47" t="s">
        <v>20</v>
      </c>
      <c r="F4" s="47" t="s">
        <v>21</v>
      </c>
      <c r="G4" s="44" t="s">
        <v>22</v>
      </c>
      <c r="H4" s="47" t="s">
        <v>23</v>
      </c>
    </row>
    <row r="5" spans="1:8" ht="15.75" customHeight="1" x14ac:dyDescent="0.25">
      <c r="A5" s="45" t="s">
        <v>24</v>
      </c>
      <c r="B5" s="45">
        <v>21</v>
      </c>
      <c r="C5" s="90">
        <v>238318.79399999999</v>
      </c>
      <c r="D5" s="90">
        <v>16000</v>
      </c>
      <c r="E5" s="90"/>
      <c r="F5" s="90">
        <f>295000-3000</f>
        <v>292000</v>
      </c>
      <c r="G5" s="89"/>
      <c r="H5" s="90">
        <f>C5+D5+E5+F5+G5</f>
        <v>546318.79399999999</v>
      </c>
    </row>
    <row r="6" spans="1:8" ht="25.5" customHeight="1" x14ac:dyDescent="0.25">
      <c r="A6" s="45" t="s">
        <v>25</v>
      </c>
      <c r="B6" s="45">
        <v>27</v>
      </c>
      <c r="C6" s="90">
        <v>297195.47999999992</v>
      </c>
      <c r="D6" s="90">
        <v>5000</v>
      </c>
      <c r="E6" s="90"/>
      <c r="F6" s="90"/>
      <c r="G6" s="89"/>
      <c r="H6" s="90">
        <f t="shared" ref="H6:H21" si="0">C6+D6+E6+F6+G6</f>
        <v>302195.47999999992</v>
      </c>
    </row>
    <row r="7" spans="1:8" ht="25.5" customHeight="1" x14ac:dyDescent="0.25">
      <c r="A7" s="45" t="s">
        <v>26</v>
      </c>
      <c r="B7" s="45">
        <v>38</v>
      </c>
      <c r="C7" s="90">
        <v>331004.52000000014</v>
      </c>
      <c r="D7" s="90">
        <v>80000</v>
      </c>
      <c r="E7" s="90"/>
      <c r="F7" s="90"/>
      <c r="G7" s="89">
        <v>35000</v>
      </c>
      <c r="H7" s="90">
        <f t="shared" si="0"/>
        <v>446004.52000000014</v>
      </c>
    </row>
    <row r="8" spans="1:8" ht="19.5" customHeight="1" x14ac:dyDescent="0.25">
      <c r="A8" s="45" t="s">
        <v>39</v>
      </c>
      <c r="B8" s="45">
        <v>1</v>
      </c>
      <c r="C8" s="90">
        <v>10024.0371</v>
      </c>
      <c r="D8" s="90">
        <v>500</v>
      </c>
      <c r="E8" s="90"/>
      <c r="F8" s="90">
        <v>4000</v>
      </c>
      <c r="G8" s="89"/>
      <c r="H8" s="90">
        <f t="shared" si="0"/>
        <v>14524.0371</v>
      </c>
    </row>
    <row r="9" spans="1:8" ht="15.75" customHeight="1" x14ac:dyDescent="0.25">
      <c r="A9" s="45" t="s">
        <v>27</v>
      </c>
      <c r="B9" s="45">
        <v>8</v>
      </c>
      <c r="C9" s="90">
        <v>88840.79819999999</v>
      </c>
      <c r="D9" s="90">
        <v>32000</v>
      </c>
      <c r="E9" s="90"/>
      <c r="F9" s="90"/>
      <c r="G9" s="89"/>
      <c r="H9" s="90">
        <f t="shared" si="0"/>
        <v>120840.79819999999</v>
      </c>
    </row>
    <row r="10" spans="1:8" ht="15.75" customHeight="1" x14ac:dyDescent="0.25">
      <c r="A10" s="45" t="s">
        <v>28</v>
      </c>
      <c r="B10" s="45">
        <v>21</v>
      </c>
      <c r="C10" s="90">
        <f>199510.8885-3000</f>
        <v>196510.8885</v>
      </c>
      <c r="D10" s="90">
        <v>76696</v>
      </c>
      <c r="E10" s="90">
        <v>264000</v>
      </c>
      <c r="F10" s="90"/>
      <c r="G10" s="89"/>
      <c r="H10" s="90">
        <f t="shared" si="0"/>
        <v>537206.8885</v>
      </c>
    </row>
    <row r="11" spans="1:8" ht="25.5" customHeight="1" x14ac:dyDescent="0.25">
      <c r="A11" s="45" t="s">
        <v>215</v>
      </c>
      <c r="B11" s="45">
        <v>3</v>
      </c>
      <c r="C11" s="90">
        <v>31603.502700000005</v>
      </c>
      <c r="D11" s="90">
        <v>395692</v>
      </c>
      <c r="E11" s="90"/>
      <c r="F11" s="90"/>
      <c r="G11" s="89">
        <v>290000</v>
      </c>
      <c r="H11" s="90">
        <f t="shared" si="0"/>
        <v>717295.50270000007</v>
      </c>
    </row>
    <row r="12" spans="1:8" ht="27" customHeight="1" x14ac:dyDescent="0.25">
      <c r="A12" s="45" t="s">
        <v>30</v>
      </c>
      <c r="B12" s="45">
        <v>15</v>
      </c>
      <c r="C12" s="90">
        <f>166468.6735+10000</f>
        <v>176468.6735</v>
      </c>
      <c r="D12" s="90">
        <v>15000</v>
      </c>
      <c r="E12" s="90"/>
      <c r="F12" s="90"/>
      <c r="G12" s="89"/>
      <c r="H12" s="90">
        <f t="shared" si="0"/>
        <v>191468.6735</v>
      </c>
    </row>
    <row r="13" spans="1:8" ht="25.5" customHeight="1" x14ac:dyDescent="0.25">
      <c r="A13" s="45" t="s">
        <v>31</v>
      </c>
      <c r="B13" s="45">
        <v>4</v>
      </c>
      <c r="C13" s="90">
        <v>39274.3197</v>
      </c>
      <c r="D13" s="90">
        <v>2000</v>
      </c>
      <c r="E13" s="90"/>
      <c r="F13" s="90">
        <v>3000</v>
      </c>
      <c r="G13" s="89"/>
      <c r="H13" s="90">
        <f t="shared" si="0"/>
        <v>44274.3197</v>
      </c>
    </row>
    <row r="14" spans="1:8" ht="15" customHeight="1" x14ac:dyDescent="0.25">
      <c r="A14" s="45" t="s">
        <v>32</v>
      </c>
      <c r="B14" s="45">
        <v>5</v>
      </c>
      <c r="C14" s="90">
        <v>52942.705199999997</v>
      </c>
      <c r="D14" s="90">
        <v>8000</v>
      </c>
      <c r="E14" s="90"/>
      <c r="F14" s="90">
        <v>231000</v>
      </c>
      <c r="G14" s="89">
        <v>120000</v>
      </c>
      <c r="H14" s="90">
        <f t="shared" si="0"/>
        <v>411942.70519999997</v>
      </c>
    </row>
    <row r="15" spans="1:8" ht="25.5" customHeight="1" x14ac:dyDescent="0.25">
      <c r="A15" s="45" t="s">
        <v>33</v>
      </c>
      <c r="B15" s="45">
        <v>9</v>
      </c>
      <c r="C15" s="90">
        <v>87065.540099999998</v>
      </c>
      <c r="D15" s="90">
        <v>12000</v>
      </c>
      <c r="E15" s="90"/>
      <c r="F15" s="90"/>
      <c r="G15" s="89"/>
      <c r="H15" s="90">
        <f t="shared" si="0"/>
        <v>99065.540099999998</v>
      </c>
    </row>
    <row r="16" spans="1:8" ht="25.5" customHeight="1" x14ac:dyDescent="0.25">
      <c r="A16" s="46" t="s">
        <v>34</v>
      </c>
      <c r="B16" s="46">
        <v>6</v>
      </c>
      <c r="C16" s="90">
        <v>65448.444600000003</v>
      </c>
      <c r="D16" s="90">
        <v>63200</v>
      </c>
      <c r="E16" s="90"/>
      <c r="F16" s="90"/>
      <c r="G16" s="89">
        <v>3924838</v>
      </c>
      <c r="H16" s="90">
        <f t="shared" si="0"/>
        <v>4053486.4446</v>
      </c>
    </row>
    <row r="17" spans="1:11" ht="19.5" customHeight="1" x14ac:dyDescent="0.25">
      <c r="A17" s="46" t="s">
        <v>35</v>
      </c>
      <c r="B17" s="46">
        <v>147</v>
      </c>
      <c r="C17" s="90">
        <f>1534370.8067-7000</f>
        <v>1527370.8067000001</v>
      </c>
      <c r="D17" s="90">
        <v>450000</v>
      </c>
      <c r="E17" s="90">
        <v>43000</v>
      </c>
      <c r="F17" s="89"/>
      <c r="G17" s="89">
        <v>45000</v>
      </c>
      <c r="H17" s="90">
        <f t="shared" si="0"/>
        <v>2065370.8067000001</v>
      </c>
    </row>
    <row r="18" spans="1:11" ht="15.75" customHeight="1" x14ac:dyDescent="0.25">
      <c r="A18" s="46" t="s">
        <v>36</v>
      </c>
      <c r="B18" s="46">
        <v>11</v>
      </c>
      <c r="C18" s="90">
        <v>103408.76699999999</v>
      </c>
      <c r="D18" s="90">
        <v>12000</v>
      </c>
      <c r="E18" s="90">
        <v>5000</v>
      </c>
      <c r="F18" s="90"/>
      <c r="G18" s="89"/>
      <c r="H18" s="90">
        <f t="shared" si="0"/>
        <v>120408.76699999999</v>
      </c>
    </row>
    <row r="19" spans="1:11" ht="25.9" customHeight="1" x14ac:dyDescent="0.25">
      <c r="A19" s="46" t="s">
        <v>107</v>
      </c>
      <c r="B19" s="46">
        <v>13</v>
      </c>
      <c r="C19" s="90">
        <v>127510.05960000001</v>
      </c>
      <c r="D19" s="90">
        <v>65000</v>
      </c>
      <c r="E19" s="90">
        <v>10000</v>
      </c>
      <c r="F19" s="90"/>
      <c r="G19" s="89"/>
      <c r="H19" s="90">
        <f>C19+D19+E19+F19+G19</f>
        <v>202510.05960000001</v>
      </c>
    </row>
    <row r="20" spans="1:11" ht="15.75" customHeight="1" x14ac:dyDescent="0.25">
      <c r="A20" s="46" t="s">
        <v>37</v>
      </c>
      <c r="B20" s="46">
        <v>13</v>
      </c>
      <c r="C20" s="90">
        <v>123786.98640000001</v>
      </c>
      <c r="D20" s="90">
        <v>48000</v>
      </c>
      <c r="E20" s="90"/>
      <c r="F20" s="90">
        <v>120000</v>
      </c>
      <c r="G20" s="89">
        <v>30000</v>
      </c>
      <c r="H20" s="90">
        <f t="shared" si="0"/>
        <v>321786.98639999999</v>
      </c>
    </row>
    <row r="21" spans="1:11" ht="25.5" customHeight="1" x14ac:dyDescent="0.25">
      <c r="A21" s="46" t="s">
        <v>38</v>
      </c>
      <c r="B21" s="46">
        <v>647</v>
      </c>
      <c r="C21" s="90">
        <v>6118160.6802000003</v>
      </c>
      <c r="D21" s="90">
        <f>457471-18000</f>
        <v>439471</v>
      </c>
      <c r="E21" s="90">
        <v>78000</v>
      </c>
      <c r="F21" s="90">
        <v>150000</v>
      </c>
      <c r="G21" s="89">
        <v>150000</v>
      </c>
      <c r="H21" s="90">
        <f t="shared" si="0"/>
        <v>6935631.6802000003</v>
      </c>
    </row>
    <row r="22" spans="1:11" s="106" customFormat="1" ht="27" customHeight="1" thickBot="1" x14ac:dyDescent="0.3">
      <c r="A22" s="104" t="s">
        <v>113</v>
      </c>
      <c r="B22" s="116">
        <f>SUM(B5:B21)</f>
        <v>989</v>
      </c>
      <c r="C22" s="105">
        <f t="shared" ref="C22:H22" si="1">SUM(C5:C21)</f>
        <v>9614935.0034999996</v>
      </c>
      <c r="D22" s="105">
        <f t="shared" si="1"/>
        <v>1720559</v>
      </c>
      <c r="E22" s="105">
        <f t="shared" si="1"/>
        <v>400000</v>
      </c>
      <c r="F22" s="105">
        <f t="shared" si="1"/>
        <v>800000</v>
      </c>
      <c r="G22" s="105">
        <f t="shared" si="1"/>
        <v>4594838</v>
      </c>
      <c r="H22" s="105">
        <f t="shared" si="1"/>
        <v>17130332.0035</v>
      </c>
      <c r="K22" s="141"/>
    </row>
    <row r="23" spans="1:11" x14ac:dyDescent="0.25">
      <c r="C23" s="26"/>
      <c r="K23" s="3"/>
    </row>
    <row r="24" spans="1:11" x14ac:dyDescent="0.25">
      <c r="C24" s="3"/>
      <c r="D24" s="3"/>
    </row>
    <row r="25" spans="1:11" x14ac:dyDescent="0.25">
      <c r="C25" s="3"/>
    </row>
  </sheetData>
  <mergeCells count="2">
    <mergeCell ref="A3:A4"/>
    <mergeCell ref="C3:G3"/>
  </mergeCells>
  <pageMargins left="0.11811023622047245" right="0.11811023622047245" top="0.74803149606299213" bottom="0.74803149606299213" header="0.31496062992125984" footer="0.31496062992125984"/>
  <pageSetup paperSize="9" scale="8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zoomScaleNormal="100" workbookViewId="0">
      <selection activeCell="A3" sqref="A3:A4"/>
    </sheetView>
  </sheetViews>
  <sheetFormatPr defaultRowHeight="15" x14ac:dyDescent="0.25"/>
  <cols>
    <col min="1" max="1" width="19.85546875" customWidth="1"/>
    <col min="2" max="2" width="10" customWidth="1"/>
    <col min="3" max="3" width="13.85546875" customWidth="1"/>
    <col min="4" max="4" width="16.28515625" customWidth="1"/>
    <col min="5" max="5" width="12.42578125" customWidth="1"/>
    <col min="6" max="6" width="11.28515625" customWidth="1"/>
    <col min="7" max="7" width="13.5703125" customWidth="1"/>
    <col min="8" max="8" width="14.28515625" customWidth="1"/>
    <col min="11" max="11" width="11.140625" bestFit="1" customWidth="1"/>
  </cols>
  <sheetData>
    <row r="2" spans="1:8" x14ac:dyDescent="0.25">
      <c r="A2" s="107" t="s">
        <v>216</v>
      </c>
      <c r="B2" s="107"/>
    </row>
    <row r="3" spans="1:8" ht="15.75" customHeight="1" x14ac:dyDescent="0.25">
      <c r="A3" s="155" t="s">
        <v>17</v>
      </c>
      <c r="B3" s="108"/>
      <c r="C3" s="157">
        <v>2028</v>
      </c>
      <c r="D3" s="157"/>
      <c r="E3" s="157"/>
      <c r="F3" s="157"/>
      <c r="G3" s="157"/>
      <c r="H3" s="44"/>
    </row>
    <row r="4" spans="1:8" ht="26.25" x14ac:dyDescent="0.25">
      <c r="A4" s="156"/>
      <c r="B4" s="109" t="s">
        <v>124</v>
      </c>
      <c r="C4" s="44" t="s">
        <v>18</v>
      </c>
      <c r="D4" s="47" t="s">
        <v>19</v>
      </c>
      <c r="E4" s="47" t="s">
        <v>20</v>
      </c>
      <c r="F4" s="47" t="s">
        <v>21</v>
      </c>
      <c r="G4" s="44" t="s">
        <v>22</v>
      </c>
      <c r="H4" s="47" t="s">
        <v>23</v>
      </c>
    </row>
    <row r="5" spans="1:8" ht="15.75" customHeight="1" x14ac:dyDescent="0.25">
      <c r="A5" s="45" t="s">
        <v>24</v>
      </c>
      <c r="B5" s="45">
        <v>21</v>
      </c>
      <c r="C5" s="90">
        <v>238318.79399999999</v>
      </c>
      <c r="D5" s="90">
        <v>16000</v>
      </c>
      <c r="E5" s="90"/>
      <c r="F5" s="90">
        <f>295000-3000</f>
        <v>292000</v>
      </c>
      <c r="G5" s="89"/>
      <c r="H5" s="90">
        <f>C5+D5+E5+F5+G5</f>
        <v>546318.79399999999</v>
      </c>
    </row>
    <row r="6" spans="1:8" ht="25.5" customHeight="1" x14ac:dyDescent="0.25">
      <c r="A6" s="45" t="s">
        <v>25</v>
      </c>
      <c r="B6" s="45">
        <v>27</v>
      </c>
      <c r="C6" s="90">
        <v>297195.47999999992</v>
      </c>
      <c r="D6" s="90">
        <v>5000</v>
      </c>
      <c r="E6" s="90"/>
      <c r="F6" s="90"/>
      <c r="G6" s="89"/>
      <c r="H6" s="90">
        <f t="shared" ref="H6:H21" si="0">C6+D6+E6+F6+G6</f>
        <v>302195.47999999992</v>
      </c>
    </row>
    <row r="7" spans="1:8" ht="25.5" customHeight="1" x14ac:dyDescent="0.25">
      <c r="A7" s="45" t="s">
        <v>26</v>
      </c>
      <c r="B7" s="45">
        <v>38</v>
      </c>
      <c r="C7" s="90">
        <v>331004.52000000014</v>
      </c>
      <c r="D7" s="90">
        <v>80000</v>
      </c>
      <c r="E7" s="90"/>
      <c r="F7" s="90"/>
      <c r="G7" s="89">
        <v>85000</v>
      </c>
      <c r="H7" s="90">
        <f t="shared" si="0"/>
        <v>496004.52000000014</v>
      </c>
    </row>
    <row r="8" spans="1:8" ht="19.5" customHeight="1" x14ac:dyDescent="0.25">
      <c r="A8" s="45" t="s">
        <v>39</v>
      </c>
      <c r="B8" s="45">
        <v>1</v>
      </c>
      <c r="C8" s="90">
        <v>10024.0371</v>
      </c>
      <c r="D8" s="90">
        <v>500</v>
      </c>
      <c r="E8" s="90"/>
      <c r="F8" s="90">
        <v>4000</v>
      </c>
      <c r="G8" s="89"/>
      <c r="H8" s="90">
        <f t="shared" si="0"/>
        <v>14524.0371</v>
      </c>
    </row>
    <row r="9" spans="1:8" ht="15.75" customHeight="1" x14ac:dyDescent="0.25">
      <c r="A9" s="45" t="s">
        <v>27</v>
      </c>
      <c r="B9" s="45">
        <v>8</v>
      </c>
      <c r="C9" s="90">
        <v>88840.79819999999</v>
      </c>
      <c r="D9" s="90">
        <v>32000</v>
      </c>
      <c r="E9" s="90"/>
      <c r="F9" s="90"/>
      <c r="G9" s="89"/>
      <c r="H9" s="90">
        <f t="shared" si="0"/>
        <v>120840.79819999999</v>
      </c>
    </row>
    <row r="10" spans="1:8" ht="15.75" customHeight="1" x14ac:dyDescent="0.25">
      <c r="A10" s="45" t="s">
        <v>28</v>
      </c>
      <c r="B10" s="45">
        <v>21</v>
      </c>
      <c r="C10" s="90">
        <v>199510.8885</v>
      </c>
      <c r="D10" s="90">
        <v>76696</v>
      </c>
      <c r="E10" s="90">
        <v>264000</v>
      </c>
      <c r="F10" s="90"/>
      <c r="G10" s="89"/>
      <c r="H10" s="90">
        <f t="shared" si="0"/>
        <v>540206.8885</v>
      </c>
    </row>
    <row r="11" spans="1:8" ht="25.5" customHeight="1" x14ac:dyDescent="0.25">
      <c r="A11" s="45" t="s">
        <v>215</v>
      </c>
      <c r="B11" s="45">
        <v>3</v>
      </c>
      <c r="C11" s="90">
        <v>31603.502700000005</v>
      </c>
      <c r="D11" s="90">
        <v>395692</v>
      </c>
      <c r="E11" s="90"/>
      <c r="F11" s="90"/>
      <c r="G11" s="89">
        <v>600000</v>
      </c>
      <c r="H11" s="90">
        <f t="shared" si="0"/>
        <v>1027295.5027000001</v>
      </c>
    </row>
    <row r="12" spans="1:8" ht="27" customHeight="1" x14ac:dyDescent="0.25">
      <c r="A12" s="45" t="s">
        <v>30</v>
      </c>
      <c r="B12" s="45">
        <v>15</v>
      </c>
      <c r="C12" s="90">
        <f>166468.6735+910</f>
        <v>167378.6735</v>
      </c>
      <c r="D12" s="90">
        <v>15000</v>
      </c>
      <c r="E12" s="90"/>
      <c r="F12" s="90"/>
      <c r="G12" s="89"/>
      <c r="H12" s="90">
        <f t="shared" si="0"/>
        <v>182378.6735</v>
      </c>
    </row>
    <row r="13" spans="1:8" ht="25.5" customHeight="1" x14ac:dyDescent="0.25">
      <c r="A13" s="45" t="s">
        <v>31</v>
      </c>
      <c r="B13" s="45">
        <v>4</v>
      </c>
      <c r="C13" s="90">
        <v>39274.3197</v>
      </c>
      <c r="D13" s="90">
        <v>2000</v>
      </c>
      <c r="E13" s="90"/>
      <c r="F13" s="90">
        <v>3000</v>
      </c>
      <c r="G13" s="89"/>
      <c r="H13" s="90">
        <f t="shared" si="0"/>
        <v>44274.3197</v>
      </c>
    </row>
    <row r="14" spans="1:8" ht="15" customHeight="1" x14ac:dyDescent="0.25">
      <c r="A14" s="45" t="s">
        <v>32</v>
      </c>
      <c r="B14" s="45">
        <v>5</v>
      </c>
      <c r="C14" s="90">
        <v>52942.705199999997</v>
      </c>
      <c r="D14" s="90">
        <v>8000</v>
      </c>
      <c r="E14" s="90"/>
      <c r="F14" s="90">
        <v>231000</v>
      </c>
      <c r="G14" s="89">
        <v>120000</v>
      </c>
      <c r="H14" s="90">
        <f t="shared" si="0"/>
        <v>411942.70519999997</v>
      </c>
    </row>
    <row r="15" spans="1:8" ht="25.5" customHeight="1" x14ac:dyDescent="0.25">
      <c r="A15" s="45" t="s">
        <v>33</v>
      </c>
      <c r="B15" s="45">
        <v>9</v>
      </c>
      <c r="C15" s="90">
        <v>87065.540099999998</v>
      </c>
      <c r="D15" s="90">
        <v>12000</v>
      </c>
      <c r="E15" s="90"/>
      <c r="F15" s="90"/>
      <c r="G15" s="89">
        <v>12000</v>
      </c>
      <c r="H15" s="90">
        <f t="shared" si="0"/>
        <v>111065.5401</v>
      </c>
    </row>
    <row r="16" spans="1:8" ht="25.5" customHeight="1" x14ac:dyDescent="0.25">
      <c r="A16" s="46" t="s">
        <v>34</v>
      </c>
      <c r="B16" s="46">
        <v>6</v>
      </c>
      <c r="C16" s="90">
        <v>65448.444600000003</v>
      </c>
      <c r="D16" s="90">
        <v>63200</v>
      </c>
      <c r="E16" s="90"/>
      <c r="F16" s="90"/>
      <c r="G16" s="89">
        <v>4114527</v>
      </c>
      <c r="H16" s="90">
        <f t="shared" si="0"/>
        <v>4243175.4446</v>
      </c>
    </row>
    <row r="17" spans="1:11" ht="19.5" customHeight="1" x14ac:dyDescent="0.25">
      <c r="A17" s="46" t="s">
        <v>35</v>
      </c>
      <c r="B17" s="46">
        <v>147</v>
      </c>
      <c r="C17" s="90">
        <v>1534370.8067000001</v>
      </c>
      <c r="D17" s="90">
        <f>450000+39441</f>
        <v>489441</v>
      </c>
      <c r="E17" s="90">
        <v>43000</v>
      </c>
      <c r="F17" s="89"/>
      <c r="G17" s="89">
        <v>85000</v>
      </c>
      <c r="H17" s="90">
        <f t="shared" si="0"/>
        <v>2151811.8067000001</v>
      </c>
    </row>
    <row r="18" spans="1:11" ht="15.75" customHeight="1" x14ac:dyDescent="0.25">
      <c r="A18" s="46" t="s">
        <v>36</v>
      </c>
      <c r="B18" s="46">
        <v>11</v>
      </c>
      <c r="C18" s="90">
        <v>103408.76699999999</v>
      </c>
      <c r="D18" s="90">
        <v>12000</v>
      </c>
      <c r="E18" s="90">
        <v>5000</v>
      </c>
      <c r="F18" s="90"/>
      <c r="G18" s="89"/>
      <c r="H18" s="90">
        <f t="shared" si="0"/>
        <v>120408.76699999999</v>
      </c>
    </row>
    <row r="19" spans="1:11" ht="25.9" customHeight="1" x14ac:dyDescent="0.25">
      <c r="A19" s="46" t="s">
        <v>107</v>
      </c>
      <c r="B19" s="46">
        <v>13</v>
      </c>
      <c r="C19" s="90">
        <v>127510.05960000001</v>
      </c>
      <c r="D19" s="90">
        <v>65000</v>
      </c>
      <c r="E19" s="90">
        <v>10000</v>
      </c>
      <c r="F19" s="90"/>
      <c r="G19" s="89"/>
      <c r="H19" s="90">
        <f>C19+D19+E19+F19+G19</f>
        <v>202510.05960000001</v>
      </c>
    </row>
    <row r="20" spans="1:11" ht="15.75" customHeight="1" x14ac:dyDescent="0.25">
      <c r="A20" s="46" t="s">
        <v>37</v>
      </c>
      <c r="B20" s="46">
        <v>13</v>
      </c>
      <c r="C20" s="90">
        <v>123786.98640000001</v>
      </c>
      <c r="D20" s="90">
        <v>48000</v>
      </c>
      <c r="E20" s="90"/>
      <c r="F20" s="90">
        <v>120000</v>
      </c>
      <c r="G20" s="89">
        <v>80000</v>
      </c>
      <c r="H20" s="90">
        <f t="shared" si="0"/>
        <v>371786.98639999999</v>
      </c>
    </row>
    <row r="21" spans="1:11" ht="25.5" customHeight="1" x14ac:dyDescent="0.25">
      <c r="A21" s="46" t="s">
        <v>38</v>
      </c>
      <c r="B21" s="46">
        <v>647</v>
      </c>
      <c r="C21" s="90">
        <f>6090325.6802+75000</f>
        <v>6165325.6802000003</v>
      </c>
      <c r="D21" s="90">
        <f>457471-18000+40000</f>
        <v>479471</v>
      </c>
      <c r="E21" s="90">
        <v>78000</v>
      </c>
      <c r="F21" s="90">
        <v>150000</v>
      </c>
      <c r="G21" s="89">
        <v>180000</v>
      </c>
      <c r="H21" s="90">
        <f t="shared" si="0"/>
        <v>7052796.6802000003</v>
      </c>
    </row>
    <row r="22" spans="1:11" s="106" customFormat="1" ht="27" customHeight="1" thickBot="1" x14ac:dyDescent="0.3">
      <c r="A22" s="104" t="s">
        <v>113</v>
      </c>
      <c r="B22" s="116">
        <f>SUM(B5:B21)</f>
        <v>989</v>
      </c>
      <c r="C22" s="105">
        <f t="shared" ref="C22:H22" si="1">SUM(C5:C21)</f>
        <v>9663010.0034999996</v>
      </c>
      <c r="D22" s="105">
        <f t="shared" si="1"/>
        <v>1800000</v>
      </c>
      <c r="E22" s="105">
        <f t="shared" si="1"/>
        <v>400000</v>
      </c>
      <c r="F22" s="105">
        <f t="shared" si="1"/>
        <v>800000</v>
      </c>
      <c r="G22" s="105">
        <f t="shared" si="1"/>
        <v>5276527</v>
      </c>
      <c r="H22" s="105">
        <f t="shared" si="1"/>
        <v>17939537.0035</v>
      </c>
      <c r="K22" s="141"/>
    </row>
    <row r="23" spans="1:11" x14ac:dyDescent="0.25">
      <c r="C23" s="26"/>
      <c r="K23" s="3"/>
    </row>
    <row r="24" spans="1:11" x14ac:dyDescent="0.25">
      <c r="C24" s="3"/>
      <c r="D24" s="3"/>
    </row>
    <row r="25" spans="1:11" x14ac:dyDescent="0.25">
      <c r="C25" s="3"/>
    </row>
  </sheetData>
  <mergeCells count="2">
    <mergeCell ref="A3:A4"/>
    <mergeCell ref="C3:G3"/>
  </mergeCells>
  <pageMargins left="0.11811023622047245" right="0.11811023622047245" top="0.74803149606299213" bottom="0.74803149606299213" header="0.31496062992125984" footer="0.31496062992125984"/>
  <pageSetup paperSize="9" scale="8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2"/>
  <sheetViews>
    <sheetView zoomScaleNormal="100" workbookViewId="0">
      <selection activeCell="B1" sqref="B1"/>
    </sheetView>
  </sheetViews>
  <sheetFormatPr defaultRowHeight="15" x14ac:dyDescent="0.25"/>
  <cols>
    <col min="1" max="1" width="3.5703125" customWidth="1"/>
    <col min="2" max="2" width="54" customWidth="1"/>
    <col min="3" max="3" width="12.42578125" customWidth="1"/>
    <col min="4" max="4" width="14" customWidth="1"/>
    <col min="5" max="5" width="13.28515625" customWidth="1"/>
    <col min="6" max="6" width="13.28515625" bestFit="1" customWidth="1"/>
  </cols>
  <sheetData>
    <row r="1" spans="1:5" x14ac:dyDescent="0.25">
      <c r="A1" s="117"/>
      <c r="B1" s="117" t="s">
        <v>51</v>
      </c>
      <c r="C1" s="49"/>
      <c r="D1" s="50"/>
      <c r="E1" s="50"/>
    </row>
    <row r="2" spans="1:5" x14ac:dyDescent="0.25">
      <c r="A2" s="118"/>
      <c r="B2" s="118" t="s">
        <v>108</v>
      </c>
      <c r="C2" s="119" t="s">
        <v>41</v>
      </c>
      <c r="D2" s="120">
        <v>10</v>
      </c>
      <c r="E2" s="120">
        <v>21</v>
      </c>
    </row>
    <row r="3" spans="1:5" ht="39" x14ac:dyDescent="0.25">
      <c r="A3" s="121">
        <v>1</v>
      </c>
      <c r="B3" s="61" t="s">
        <v>182</v>
      </c>
      <c r="C3" s="53">
        <f>D3+E3</f>
        <v>100000</v>
      </c>
      <c r="D3" s="54">
        <v>70000</v>
      </c>
      <c r="E3" s="55">
        <v>30000</v>
      </c>
    </row>
    <row r="4" spans="1:5" ht="26.25" x14ac:dyDescent="0.25">
      <c r="A4" s="121">
        <v>2</v>
      </c>
      <c r="B4" s="61" t="s">
        <v>127</v>
      </c>
      <c r="C4" s="53">
        <f t="shared" ref="C4:C35" si="0">D4+E4</f>
        <v>50000</v>
      </c>
      <c r="D4" s="54">
        <v>30000</v>
      </c>
      <c r="E4" s="55">
        <v>20000</v>
      </c>
    </row>
    <row r="5" spans="1:5" x14ac:dyDescent="0.25">
      <c r="A5" s="121">
        <v>3</v>
      </c>
      <c r="B5" s="61" t="s">
        <v>42</v>
      </c>
      <c r="C5" s="53">
        <f t="shared" si="0"/>
        <v>1150000</v>
      </c>
      <c r="D5" s="54">
        <v>650000</v>
      </c>
      <c r="E5" s="55">
        <v>500000</v>
      </c>
    </row>
    <row r="6" spans="1:5" ht="26.25" x14ac:dyDescent="0.25">
      <c r="A6" s="121">
        <v>4</v>
      </c>
      <c r="B6" s="61" t="s">
        <v>98</v>
      </c>
      <c r="C6" s="53">
        <f t="shared" si="0"/>
        <v>40000</v>
      </c>
      <c r="D6" s="54">
        <v>20000</v>
      </c>
      <c r="E6" s="55">
        <v>20000</v>
      </c>
    </row>
    <row r="7" spans="1:5" ht="39" x14ac:dyDescent="0.25">
      <c r="A7" s="121">
        <v>5</v>
      </c>
      <c r="B7" s="61" t="s">
        <v>128</v>
      </c>
      <c r="C7" s="53">
        <f t="shared" si="0"/>
        <v>350000</v>
      </c>
      <c r="D7" s="54">
        <v>300000</v>
      </c>
      <c r="E7" s="55">
        <v>50000</v>
      </c>
    </row>
    <row r="8" spans="1:5" ht="25.9" customHeight="1" x14ac:dyDescent="0.25">
      <c r="A8" s="121">
        <v>6</v>
      </c>
      <c r="B8" s="61" t="s">
        <v>129</v>
      </c>
      <c r="C8" s="53">
        <f t="shared" si="0"/>
        <v>145000</v>
      </c>
      <c r="D8" s="54">
        <v>100000</v>
      </c>
      <c r="E8" s="55">
        <v>45000</v>
      </c>
    </row>
    <row r="9" spans="1:5" ht="26.25" x14ac:dyDescent="0.25">
      <c r="A9" s="121">
        <v>7</v>
      </c>
      <c r="B9" s="61" t="s">
        <v>130</v>
      </c>
      <c r="C9" s="53">
        <f t="shared" si="0"/>
        <v>60000</v>
      </c>
      <c r="D9" s="54">
        <v>50000</v>
      </c>
      <c r="E9" s="55">
        <v>10000</v>
      </c>
    </row>
    <row r="10" spans="1:5" ht="39" x14ac:dyDescent="0.25">
      <c r="A10" s="121">
        <v>8</v>
      </c>
      <c r="B10" s="61" t="s">
        <v>131</v>
      </c>
      <c r="C10" s="53">
        <f t="shared" si="0"/>
        <v>60000</v>
      </c>
      <c r="D10" s="54">
        <v>40000</v>
      </c>
      <c r="E10" s="55">
        <v>20000</v>
      </c>
    </row>
    <row r="11" spans="1:5" ht="26.25" x14ac:dyDescent="0.25">
      <c r="A11" s="121">
        <v>9</v>
      </c>
      <c r="B11" s="61" t="s">
        <v>132</v>
      </c>
      <c r="C11" s="53">
        <f t="shared" si="0"/>
        <v>50000</v>
      </c>
      <c r="D11" s="54">
        <v>30000</v>
      </c>
      <c r="E11" s="55">
        <v>20000</v>
      </c>
    </row>
    <row r="12" spans="1:5" x14ac:dyDescent="0.25">
      <c r="A12" s="121">
        <v>10</v>
      </c>
      <c r="B12" s="61" t="s">
        <v>133</v>
      </c>
      <c r="C12" s="53">
        <f t="shared" si="0"/>
        <v>40000</v>
      </c>
      <c r="D12" s="54">
        <v>20000</v>
      </c>
      <c r="E12" s="55">
        <v>20000</v>
      </c>
    </row>
    <row r="13" spans="1:5" ht="26.25" x14ac:dyDescent="0.25">
      <c r="A13" s="121">
        <v>11</v>
      </c>
      <c r="B13" s="61" t="s">
        <v>134</v>
      </c>
      <c r="C13" s="53">
        <f t="shared" si="0"/>
        <v>82000</v>
      </c>
      <c r="D13" s="54">
        <v>50000</v>
      </c>
      <c r="E13" s="55">
        <v>32000</v>
      </c>
    </row>
    <row r="14" spans="1:5" ht="26.25" x14ac:dyDescent="0.25">
      <c r="A14" s="121">
        <v>12</v>
      </c>
      <c r="B14" s="61" t="s">
        <v>135</v>
      </c>
      <c r="C14" s="53">
        <f t="shared" si="0"/>
        <v>50000</v>
      </c>
      <c r="D14" s="54">
        <v>35000</v>
      </c>
      <c r="E14" s="55">
        <v>15000</v>
      </c>
    </row>
    <row r="15" spans="1:5" ht="26.25" x14ac:dyDescent="0.25">
      <c r="A15" s="121">
        <v>13</v>
      </c>
      <c r="B15" s="61" t="s">
        <v>136</v>
      </c>
      <c r="C15" s="53">
        <f t="shared" si="0"/>
        <v>15000</v>
      </c>
      <c r="D15" s="54">
        <v>15000</v>
      </c>
      <c r="E15" s="55"/>
    </row>
    <row r="16" spans="1:5" ht="26.25" x14ac:dyDescent="0.25">
      <c r="A16" s="121">
        <v>14</v>
      </c>
      <c r="B16" s="122" t="s">
        <v>137</v>
      </c>
      <c r="C16" s="53">
        <f t="shared" si="0"/>
        <v>41500</v>
      </c>
      <c r="D16" s="54">
        <v>20000</v>
      </c>
      <c r="E16" s="55">
        <v>21500</v>
      </c>
    </row>
    <row r="17" spans="1:5" x14ac:dyDescent="0.25">
      <c r="A17" s="121">
        <v>15</v>
      </c>
      <c r="B17" s="61" t="s">
        <v>138</v>
      </c>
      <c r="C17" s="53">
        <f t="shared" si="0"/>
        <v>20000</v>
      </c>
      <c r="D17" s="54">
        <v>10000</v>
      </c>
      <c r="E17" s="55">
        <v>10000</v>
      </c>
    </row>
    <row r="18" spans="1:5" ht="26.25" x14ac:dyDescent="0.25">
      <c r="A18" s="121">
        <v>16</v>
      </c>
      <c r="B18" s="122" t="s">
        <v>139</v>
      </c>
      <c r="C18" s="53">
        <f t="shared" si="0"/>
        <v>100000</v>
      </c>
      <c r="D18" s="54">
        <v>55000</v>
      </c>
      <c r="E18" s="55">
        <v>45000</v>
      </c>
    </row>
    <row r="19" spans="1:5" ht="26.25" x14ac:dyDescent="0.25">
      <c r="A19" s="121">
        <v>17</v>
      </c>
      <c r="B19" s="122" t="s">
        <v>140</v>
      </c>
      <c r="C19" s="53">
        <f t="shared" si="0"/>
        <v>20000</v>
      </c>
      <c r="D19" s="54">
        <v>20000</v>
      </c>
      <c r="E19" s="55">
        <v>0</v>
      </c>
    </row>
    <row r="20" spans="1:5" ht="26.25" x14ac:dyDescent="0.25">
      <c r="A20" s="121">
        <v>18</v>
      </c>
      <c r="B20" s="122" t="s">
        <v>141</v>
      </c>
      <c r="C20" s="53">
        <f t="shared" si="0"/>
        <v>60000</v>
      </c>
      <c r="D20" s="54">
        <v>40000</v>
      </c>
      <c r="E20" s="55">
        <v>20000</v>
      </c>
    </row>
    <row r="21" spans="1:5" ht="26.25" x14ac:dyDescent="0.25">
      <c r="A21" s="121">
        <v>19</v>
      </c>
      <c r="B21" s="61" t="s">
        <v>142</v>
      </c>
      <c r="C21" s="53">
        <f t="shared" si="0"/>
        <v>15000</v>
      </c>
      <c r="D21" s="54">
        <v>15000</v>
      </c>
      <c r="E21" s="55"/>
    </row>
    <row r="22" spans="1:5" ht="39" x14ac:dyDescent="0.25">
      <c r="A22" s="121">
        <v>20</v>
      </c>
      <c r="B22" s="61" t="s">
        <v>143</v>
      </c>
      <c r="C22" s="53">
        <f t="shared" si="0"/>
        <v>20000</v>
      </c>
      <c r="D22" s="54">
        <v>20000</v>
      </c>
      <c r="E22" s="55"/>
    </row>
    <row r="23" spans="1:5" ht="26.25" x14ac:dyDescent="0.25">
      <c r="A23" s="121">
        <v>21</v>
      </c>
      <c r="B23" s="61" t="s">
        <v>144</v>
      </c>
      <c r="C23" s="53">
        <f t="shared" si="0"/>
        <v>5000</v>
      </c>
      <c r="D23" s="54"/>
      <c r="E23" s="55">
        <v>5000</v>
      </c>
    </row>
    <row r="24" spans="1:5" ht="26.25" x14ac:dyDescent="0.25">
      <c r="A24" s="121">
        <v>22</v>
      </c>
      <c r="B24" s="61" t="s">
        <v>145</v>
      </c>
      <c r="C24" s="53">
        <f t="shared" si="0"/>
        <v>60000</v>
      </c>
      <c r="D24" s="54">
        <v>40000</v>
      </c>
      <c r="E24" s="55">
        <v>20000</v>
      </c>
    </row>
    <row r="25" spans="1:5" ht="26.25" x14ac:dyDescent="0.25">
      <c r="A25" s="121">
        <v>23</v>
      </c>
      <c r="B25" s="122" t="s">
        <v>146</v>
      </c>
      <c r="C25" s="53">
        <f t="shared" si="0"/>
        <v>130000</v>
      </c>
      <c r="D25" s="54">
        <v>100000</v>
      </c>
      <c r="E25" s="55">
        <v>30000</v>
      </c>
    </row>
    <row r="26" spans="1:5" ht="26.25" x14ac:dyDescent="0.25">
      <c r="A26" s="121">
        <v>24</v>
      </c>
      <c r="B26" s="61" t="s">
        <v>147</v>
      </c>
      <c r="C26" s="53">
        <f t="shared" si="0"/>
        <v>35000</v>
      </c>
      <c r="D26" s="54">
        <v>35000</v>
      </c>
      <c r="E26" s="55"/>
    </row>
    <row r="27" spans="1:5" ht="26.25" x14ac:dyDescent="0.25">
      <c r="A27" s="121">
        <v>25</v>
      </c>
      <c r="B27" s="122" t="s">
        <v>148</v>
      </c>
      <c r="C27" s="53">
        <f t="shared" si="0"/>
        <v>35000</v>
      </c>
      <c r="D27" s="54">
        <v>25000</v>
      </c>
      <c r="E27" s="55">
        <v>10000</v>
      </c>
    </row>
    <row r="28" spans="1:5" x14ac:dyDescent="0.25">
      <c r="A28" s="121">
        <v>26</v>
      </c>
      <c r="B28" s="122" t="s">
        <v>152</v>
      </c>
      <c r="C28" s="53">
        <f t="shared" si="0"/>
        <v>10000</v>
      </c>
      <c r="D28" s="54"/>
      <c r="E28" s="55">
        <v>10000</v>
      </c>
    </row>
    <row r="29" spans="1:5" x14ac:dyDescent="0.25">
      <c r="A29" s="121">
        <v>27</v>
      </c>
      <c r="B29" s="122" t="s">
        <v>149</v>
      </c>
      <c r="C29" s="53">
        <f t="shared" si="0"/>
        <v>30000</v>
      </c>
      <c r="D29" s="54">
        <v>30000</v>
      </c>
      <c r="E29" s="55">
        <v>0</v>
      </c>
    </row>
    <row r="30" spans="1:5" x14ac:dyDescent="0.25">
      <c r="A30" s="121">
        <v>28</v>
      </c>
      <c r="B30" s="122" t="s">
        <v>150</v>
      </c>
      <c r="C30" s="53">
        <f t="shared" si="0"/>
        <v>30000</v>
      </c>
      <c r="D30" s="54">
        <v>30000</v>
      </c>
      <c r="E30" s="55">
        <v>0</v>
      </c>
    </row>
    <row r="31" spans="1:5" x14ac:dyDescent="0.25">
      <c r="A31" s="121">
        <v>29</v>
      </c>
      <c r="B31" s="122" t="s">
        <v>151</v>
      </c>
      <c r="C31" s="53">
        <f t="shared" si="0"/>
        <v>30000</v>
      </c>
      <c r="D31" s="54">
        <v>10000</v>
      </c>
      <c r="E31" s="55">
        <v>20000</v>
      </c>
    </row>
    <row r="32" spans="1:5" x14ac:dyDescent="0.25">
      <c r="A32" s="121">
        <v>30</v>
      </c>
      <c r="B32" s="122" t="s">
        <v>153</v>
      </c>
      <c r="C32" s="53">
        <f t="shared" si="0"/>
        <v>10000</v>
      </c>
      <c r="D32" s="54"/>
      <c r="E32" s="55">
        <v>10000</v>
      </c>
    </row>
    <row r="33" spans="1:5" x14ac:dyDescent="0.25">
      <c r="A33" s="121">
        <v>31</v>
      </c>
      <c r="B33" s="122" t="s">
        <v>211</v>
      </c>
      <c r="C33" s="53">
        <f t="shared" si="0"/>
        <v>10000</v>
      </c>
      <c r="D33" s="54"/>
      <c r="E33" s="55">
        <v>10000</v>
      </c>
    </row>
    <row r="34" spans="1:5" x14ac:dyDescent="0.25">
      <c r="A34" s="121">
        <v>32</v>
      </c>
      <c r="B34" s="122" t="s">
        <v>212</v>
      </c>
      <c r="C34" s="53">
        <f t="shared" si="0"/>
        <v>8298</v>
      </c>
      <c r="D34" s="54"/>
      <c r="E34" s="55">
        <v>8298</v>
      </c>
    </row>
    <row r="35" spans="1:5" ht="26.25" x14ac:dyDescent="0.25">
      <c r="A35" s="121">
        <v>33</v>
      </c>
      <c r="B35" s="61" t="s">
        <v>183</v>
      </c>
      <c r="C35" s="53">
        <f t="shared" si="0"/>
        <v>0</v>
      </c>
      <c r="D35" s="59">
        <v>0</v>
      </c>
      <c r="E35" s="59">
        <v>0</v>
      </c>
    </row>
    <row r="36" spans="1:5" x14ac:dyDescent="0.25">
      <c r="A36" s="123"/>
      <c r="B36" s="124" t="s">
        <v>43</v>
      </c>
      <c r="C36" s="58">
        <f>SUM(C3:C35)</f>
        <v>2861798</v>
      </c>
      <c r="D36" s="58">
        <f t="shared" ref="D36:E36" si="1">SUM(D3:D35)</f>
        <v>1860000</v>
      </c>
      <c r="E36" s="58">
        <f t="shared" si="1"/>
        <v>1001798</v>
      </c>
    </row>
    <row r="37" spans="1:5" ht="26.25" x14ac:dyDescent="0.25">
      <c r="A37" s="121">
        <v>34</v>
      </c>
      <c r="B37" s="61" t="s">
        <v>154</v>
      </c>
      <c r="C37" s="53">
        <f>D37+E37</f>
        <v>70000</v>
      </c>
      <c r="D37" s="54">
        <v>40000</v>
      </c>
      <c r="E37" s="55">
        <v>30000</v>
      </c>
    </row>
    <row r="38" spans="1:5" ht="39" x14ac:dyDescent="0.25">
      <c r="A38" s="121">
        <v>35</v>
      </c>
      <c r="B38" s="61" t="s">
        <v>155</v>
      </c>
      <c r="C38" s="53">
        <f t="shared" ref="C38:C41" si="2">D38+E38</f>
        <v>185000</v>
      </c>
      <c r="D38" s="54">
        <v>135000</v>
      </c>
      <c r="E38" s="55">
        <v>50000</v>
      </c>
    </row>
    <row r="39" spans="1:5" ht="26.25" x14ac:dyDescent="0.25">
      <c r="A39" s="121">
        <v>36</v>
      </c>
      <c r="B39" s="61" t="s">
        <v>101</v>
      </c>
      <c r="C39" s="53">
        <f t="shared" si="2"/>
        <v>170000</v>
      </c>
      <c r="D39" s="54">
        <v>130000</v>
      </c>
      <c r="E39" s="55">
        <v>40000</v>
      </c>
    </row>
    <row r="40" spans="1:5" ht="26.25" x14ac:dyDescent="0.25">
      <c r="A40" s="121">
        <v>37</v>
      </c>
      <c r="B40" s="61" t="s">
        <v>156</v>
      </c>
      <c r="C40" s="53">
        <f t="shared" si="2"/>
        <v>90000</v>
      </c>
      <c r="D40" s="54">
        <v>60000</v>
      </c>
      <c r="E40" s="55">
        <v>30000</v>
      </c>
    </row>
    <row r="41" spans="1:5" ht="26.25" x14ac:dyDescent="0.25">
      <c r="A41" s="121">
        <v>38</v>
      </c>
      <c r="B41" s="61" t="s">
        <v>157</v>
      </c>
      <c r="C41" s="53">
        <f t="shared" si="2"/>
        <v>130000</v>
      </c>
      <c r="D41" s="59">
        <v>100000</v>
      </c>
      <c r="E41" s="60">
        <v>30000</v>
      </c>
    </row>
    <row r="42" spans="1:5" x14ac:dyDescent="0.25">
      <c r="A42" s="123"/>
      <c r="B42" s="124" t="s">
        <v>50</v>
      </c>
      <c r="C42" s="58">
        <f>SUM(C37:C41)</f>
        <v>645000</v>
      </c>
      <c r="D42" s="58">
        <f t="shared" ref="D42:E42" si="3">SUM(D37:D41)</f>
        <v>465000</v>
      </c>
      <c r="E42" s="58">
        <f t="shared" si="3"/>
        <v>180000</v>
      </c>
    </row>
    <row r="43" spans="1:5" ht="26.25" x14ac:dyDescent="0.25">
      <c r="A43" s="121">
        <v>39</v>
      </c>
      <c r="B43" s="125" t="s">
        <v>158</v>
      </c>
      <c r="C43" s="53">
        <f>D43+E43</f>
        <v>30000</v>
      </c>
      <c r="D43" s="59">
        <v>30000</v>
      </c>
      <c r="E43" s="60">
        <v>0</v>
      </c>
    </row>
    <row r="44" spans="1:5" ht="60" customHeight="1" x14ac:dyDescent="0.25">
      <c r="A44" s="121">
        <v>40</v>
      </c>
      <c r="B44" s="126" t="s">
        <v>159</v>
      </c>
      <c r="C44" s="53">
        <f t="shared" ref="C44:C46" si="4">D44+E44</f>
        <v>90000</v>
      </c>
      <c r="D44" s="59">
        <v>60000</v>
      </c>
      <c r="E44" s="60">
        <v>30000</v>
      </c>
    </row>
    <row r="45" spans="1:5" ht="25.5" x14ac:dyDescent="0.25">
      <c r="A45" s="121">
        <v>41</v>
      </c>
      <c r="B45" s="126" t="s">
        <v>160</v>
      </c>
      <c r="C45" s="53">
        <f t="shared" si="4"/>
        <v>0</v>
      </c>
      <c r="D45" s="59"/>
      <c r="E45" s="60">
        <v>0</v>
      </c>
    </row>
    <row r="46" spans="1:5" ht="36" customHeight="1" x14ac:dyDescent="0.25">
      <c r="A46" s="121">
        <v>42</v>
      </c>
      <c r="B46" s="126" t="s">
        <v>161</v>
      </c>
      <c r="C46" s="53">
        <f t="shared" si="4"/>
        <v>60000</v>
      </c>
      <c r="D46" s="59">
        <v>40000</v>
      </c>
      <c r="E46" s="60">
        <v>20000</v>
      </c>
    </row>
    <row r="47" spans="1:5" ht="17.25" customHeight="1" x14ac:dyDescent="0.25">
      <c r="A47" s="123"/>
      <c r="B47" s="124" t="s">
        <v>48</v>
      </c>
      <c r="C47" s="58">
        <f>SUM(C43:C46)</f>
        <v>180000</v>
      </c>
      <c r="D47" s="58">
        <f t="shared" ref="D47:E47" si="5">SUM(D43:D46)</f>
        <v>130000</v>
      </c>
      <c r="E47" s="58">
        <f t="shared" si="5"/>
        <v>50000</v>
      </c>
    </row>
    <row r="48" spans="1:5" x14ac:dyDescent="0.25">
      <c r="A48" s="121">
        <v>43</v>
      </c>
      <c r="B48" s="127" t="s">
        <v>218</v>
      </c>
      <c r="C48" s="53">
        <f>D48+E48</f>
        <v>40000</v>
      </c>
      <c r="D48" s="59">
        <v>40000</v>
      </c>
      <c r="E48" s="60">
        <v>0</v>
      </c>
    </row>
    <row r="49" spans="1:6" ht="30.6" customHeight="1" x14ac:dyDescent="0.25">
      <c r="A49" s="121">
        <v>44</v>
      </c>
      <c r="B49" s="128" t="s">
        <v>162</v>
      </c>
      <c r="C49" s="53">
        <f>D49+E49</f>
        <v>30000</v>
      </c>
      <c r="D49" s="59">
        <v>20000</v>
      </c>
      <c r="E49" s="60">
        <v>10000</v>
      </c>
    </row>
    <row r="50" spans="1:6" x14ac:dyDescent="0.25">
      <c r="A50" s="123"/>
      <c r="B50" s="124" t="s">
        <v>45</v>
      </c>
      <c r="C50" s="58">
        <f>SUM(C48:C49)</f>
        <v>70000</v>
      </c>
      <c r="D50" s="58">
        <f t="shared" ref="D50:E50" si="6">SUM(D48:D49)</f>
        <v>60000</v>
      </c>
      <c r="E50" s="58">
        <f t="shared" si="6"/>
        <v>10000</v>
      </c>
    </row>
    <row r="51" spans="1:6" x14ac:dyDescent="0.25">
      <c r="A51" s="121">
        <v>45</v>
      </c>
      <c r="B51" s="129" t="s">
        <v>163</v>
      </c>
      <c r="C51" s="53">
        <f>D51+E51</f>
        <v>20000</v>
      </c>
      <c r="D51" s="59"/>
      <c r="E51" s="60">
        <v>20000</v>
      </c>
    </row>
    <row r="52" spans="1:6" x14ac:dyDescent="0.25">
      <c r="A52" s="123"/>
      <c r="B52" s="130" t="s">
        <v>164</v>
      </c>
      <c r="C52" s="58">
        <f>SUM(C51)</f>
        <v>20000</v>
      </c>
      <c r="D52" s="58">
        <f t="shared" ref="D52:E52" si="7">SUM(D51)</f>
        <v>0</v>
      </c>
      <c r="E52" s="58">
        <f t="shared" si="7"/>
        <v>20000</v>
      </c>
    </row>
    <row r="53" spans="1:6" x14ac:dyDescent="0.25">
      <c r="A53" s="121">
        <v>46</v>
      </c>
      <c r="B53" s="129" t="s">
        <v>219</v>
      </c>
      <c r="C53" s="53">
        <f>D53+E53</f>
        <v>20000</v>
      </c>
      <c r="D53" s="59">
        <v>20000</v>
      </c>
      <c r="E53" s="60">
        <v>0</v>
      </c>
    </row>
    <row r="54" spans="1:6" x14ac:dyDescent="0.25">
      <c r="A54" s="121">
        <v>47</v>
      </c>
      <c r="B54" s="125" t="s">
        <v>165</v>
      </c>
      <c r="C54" s="53">
        <f>D54+E54</f>
        <v>35000</v>
      </c>
      <c r="D54" s="59"/>
      <c r="E54" s="60">
        <v>35000</v>
      </c>
    </row>
    <row r="55" spans="1:6" x14ac:dyDescent="0.25">
      <c r="A55" s="123"/>
      <c r="B55" s="124" t="s">
        <v>46</v>
      </c>
      <c r="C55" s="58">
        <f>SUM(C53:C54)</f>
        <v>55000</v>
      </c>
      <c r="D55" s="58">
        <f t="shared" ref="D55:E55" si="8">SUM(D53:D54)</f>
        <v>20000</v>
      </c>
      <c r="E55" s="58">
        <f t="shared" si="8"/>
        <v>35000</v>
      </c>
    </row>
    <row r="56" spans="1:6" x14ac:dyDescent="0.25">
      <c r="A56" s="121">
        <v>48</v>
      </c>
      <c r="B56" s="125" t="s">
        <v>220</v>
      </c>
      <c r="C56" s="53">
        <f>D56+E56</f>
        <v>40000</v>
      </c>
      <c r="D56" s="59">
        <v>25000</v>
      </c>
      <c r="E56" s="60">
        <v>15000</v>
      </c>
    </row>
    <row r="57" spans="1:6" x14ac:dyDescent="0.25">
      <c r="A57" s="123"/>
      <c r="B57" s="124" t="s">
        <v>47</v>
      </c>
      <c r="C57" s="58">
        <f>SUM(C56:C56)</f>
        <v>40000</v>
      </c>
      <c r="D57" s="62">
        <f>SUM(D56:D56)</f>
        <v>25000</v>
      </c>
      <c r="E57" s="58">
        <f>SUM(E56:E56)</f>
        <v>15000</v>
      </c>
    </row>
    <row r="58" spans="1:6" x14ac:dyDescent="0.25">
      <c r="A58" s="121">
        <v>49</v>
      </c>
      <c r="B58" s="131" t="s">
        <v>166</v>
      </c>
      <c r="C58" s="53">
        <f>D58+E58</f>
        <v>0</v>
      </c>
      <c r="D58" s="87"/>
      <c r="E58" s="60"/>
    </row>
    <row r="59" spans="1:6" x14ac:dyDescent="0.25">
      <c r="A59" s="123"/>
      <c r="B59" s="124" t="s">
        <v>100</v>
      </c>
      <c r="C59" s="58">
        <f>C58</f>
        <v>0</v>
      </c>
      <c r="D59" s="58">
        <f t="shared" ref="D59:E59" si="9">D58</f>
        <v>0</v>
      </c>
      <c r="E59" s="58">
        <f t="shared" si="9"/>
        <v>0</v>
      </c>
    </row>
    <row r="60" spans="1:6" ht="26.25" x14ac:dyDescent="0.25">
      <c r="A60" s="121">
        <v>50</v>
      </c>
      <c r="B60" s="61" t="s">
        <v>167</v>
      </c>
      <c r="C60" s="53">
        <f>D60+E60</f>
        <v>130000</v>
      </c>
      <c r="D60" s="59">
        <v>100000</v>
      </c>
      <c r="E60" s="60">
        <v>30000</v>
      </c>
    </row>
    <row r="61" spans="1:6" x14ac:dyDescent="0.25">
      <c r="A61" s="56"/>
      <c r="B61" s="57" t="s">
        <v>44</v>
      </c>
      <c r="C61" s="58">
        <f>SUM(C60:C60)</f>
        <v>130000</v>
      </c>
      <c r="D61" s="62">
        <f>SUM(D60:D60)</f>
        <v>100000</v>
      </c>
      <c r="E61" s="58">
        <f>SUM(E60:E60)</f>
        <v>30000</v>
      </c>
    </row>
    <row r="62" spans="1:6" x14ac:dyDescent="0.25">
      <c r="A62" s="51"/>
      <c r="B62" s="63" t="s">
        <v>49</v>
      </c>
      <c r="C62" s="64">
        <f>C36+C42+C47+C50+C52+C55+C57+C59+C61</f>
        <v>4001798</v>
      </c>
      <c r="D62" s="64">
        <f t="shared" ref="D62:E62" si="10">D36+D42+D47+D50+D52+D55+D57+D59+D61</f>
        <v>2660000</v>
      </c>
      <c r="E62" s="64">
        <f t="shared" si="10"/>
        <v>1341798</v>
      </c>
      <c r="F62" s="3"/>
    </row>
  </sheetData>
  <pageMargins left="0" right="0" top="0.15748031496062992" bottom="0" header="0.31496062992125984" footer="0.31496062992125984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zoomScale="102" zoomScaleNormal="102" workbookViewId="0">
      <selection activeCell="B1" sqref="B1"/>
    </sheetView>
  </sheetViews>
  <sheetFormatPr defaultRowHeight="15" x14ac:dyDescent="0.25"/>
  <cols>
    <col min="1" max="1" width="3.42578125" customWidth="1"/>
    <col min="2" max="2" width="49.42578125" customWidth="1"/>
    <col min="3" max="3" width="15.42578125" customWidth="1"/>
    <col min="4" max="4" width="15.140625" customWidth="1"/>
    <col min="5" max="5" width="15.42578125" customWidth="1"/>
    <col min="6" max="6" width="11.7109375" bestFit="1" customWidth="1"/>
  </cols>
  <sheetData>
    <row r="1" spans="1:5" x14ac:dyDescent="0.25">
      <c r="A1" s="117"/>
      <c r="B1" s="117" t="s">
        <v>97</v>
      </c>
      <c r="C1" s="51"/>
      <c r="D1" s="49"/>
      <c r="E1" s="50"/>
    </row>
    <row r="2" spans="1:5" x14ac:dyDescent="0.25">
      <c r="A2" s="118"/>
      <c r="B2" s="118" t="s">
        <v>108</v>
      </c>
      <c r="C2" s="119" t="s">
        <v>41</v>
      </c>
      <c r="D2" s="120">
        <v>10</v>
      </c>
      <c r="E2" s="120">
        <v>21</v>
      </c>
    </row>
    <row r="3" spans="1:5" ht="46.15" customHeight="1" x14ac:dyDescent="0.25">
      <c r="A3" s="121">
        <v>1</v>
      </c>
      <c r="B3" s="61" t="s">
        <v>182</v>
      </c>
      <c r="C3" s="53">
        <f>D3+E3</f>
        <v>50000</v>
      </c>
      <c r="D3" s="54">
        <v>50000</v>
      </c>
      <c r="E3" s="55"/>
    </row>
    <row r="4" spans="1:5" ht="26.25" x14ac:dyDescent="0.25">
      <c r="A4" s="121">
        <v>2</v>
      </c>
      <c r="B4" s="61" t="s">
        <v>127</v>
      </c>
      <c r="C4" s="53">
        <f t="shared" ref="C4:C35" si="0">D4+E4</f>
        <v>35000</v>
      </c>
      <c r="D4" s="54">
        <v>35000</v>
      </c>
      <c r="E4" s="55"/>
    </row>
    <row r="5" spans="1:5" x14ac:dyDescent="0.25">
      <c r="A5" s="121">
        <v>3</v>
      </c>
      <c r="B5" s="52" t="s">
        <v>42</v>
      </c>
      <c r="C5" s="53">
        <f t="shared" si="0"/>
        <v>2369838</v>
      </c>
      <c r="D5" s="54">
        <f>1575000-150000-120000+6</f>
        <v>1305006</v>
      </c>
      <c r="E5" s="55">
        <f>794832+150000+120000</f>
        <v>1064832</v>
      </c>
    </row>
    <row r="6" spans="1:5" ht="26.25" x14ac:dyDescent="0.25">
      <c r="A6" s="121">
        <v>4</v>
      </c>
      <c r="B6" s="61" t="s">
        <v>96</v>
      </c>
      <c r="C6" s="53">
        <f t="shared" si="0"/>
        <v>30000</v>
      </c>
      <c r="D6" s="54">
        <v>30000</v>
      </c>
      <c r="E6" s="55"/>
    </row>
    <row r="7" spans="1:5" ht="39" x14ac:dyDescent="0.25">
      <c r="A7" s="121">
        <v>5</v>
      </c>
      <c r="B7" s="61" t="s">
        <v>128</v>
      </c>
      <c r="C7" s="53">
        <f t="shared" si="0"/>
        <v>360000</v>
      </c>
      <c r="D7" s="54">
        <v>310000</v>
      </c>
      <c r="E7" s="55">
        <v>50000</v>
      </c>
    </row>
    <row r="8" spans="1:5" ht="26.25" x14ac:dyDescent="0.25">
      <c r="A8" s="121">
        <v>6</v>
      </c>
      <c r="B8" s="61" t="s">
        <v>129</v>
      </c>
      <c r="C8" s="53">
        <f t="shared" si="0"/>
        <v>40000</v>
      </c>
      <c r="D8" s="54">
        <v>40000</v>
      </c>
      <c r="E8" s="55"/>
    </row>
    <row r="9" spans="1:5" ht="26.25" x14ac:dyDescent="0.25">
      <c r="A9" s="121">
        <v>7</v>
      </c>
      <c r="B9" s="61" t="s">
        <v>130</v>
      </c>
      <c r="C9" s="53">
        <f t="shared" si="0"/>
        <v>40000</v>
      </c>
      <c r="D9" s="54">
        <v>40000</v>
      </c>
      <c r="E9" s="55">
        <v>0</v>
      </c>
    </row>
    <row r="10" spans="1:5" ht="39" x14ac:dyDescent="0.25">
      <c r="A10" s="121">
        <v>8</v>
      </c>
      <c r="B10" s="61" t="s">
        <v>131</v>
      </c>
      <c r="C10" s="53">
        <f t="shared" si="0"/>
        <v>50000</v>
      </c>
      <c r="D10" s="54">
        <v>40000</v>
      </c>
      <c r="E10" s="55">
        <v>10000</v>
      </c>
    </row>
    <row r="11" spans="1:5" ht="26.25" x14ac:dyDescent="0.25">
      <c r="A11" s="121">
        <v>9</v>
      </c>
      <c r="B11" s="61" t="s">
        <v>132</v>
      </c>
      <c r="C11" s="53">
        <f t="shared" si="0"/>
        <v>30000</v>
      </c>
      <c r="D11" s="54">
        <v>30000</v>
      </c>
      <c r="E11" s="55"/>
    </row>
    <row r="12" spans="1:5" x14ac:dyDescent="0.25">
      <c r="A12" s="121">
        <v>10</v>
      </c>
      <c r="B12" s="61" t="s">
        <v>133</v>
      </c>
      <c r="C12" s="53">
        <f t="shared" si="0"/>
        <v>10000</v>
      </c>
      <c r="D12" s="54">
        <v>0</v>
      </c>
      <c r="E12" s="55">
        <v>10000</v>
      </c>
    </row>
    <row r="13" spans="1:5" ht="26.25" x14ac:dyDescent="0.25">
      <c r="A13" s="121">
        <v>11</v>
      </c>
      <c r="B13" s="61" t="s">
        <v>134</v>
      </c>
      <c r="C13" s="53">
        <f t="shared" si="0"/>
        <v>50000</v>
      </c>
      <c r="D13" s="54">
        <v>50000</v>
      </c>
      <c r="E13" s="55">
        <v>0</v>
      </c>
    </row>
    <row r="14" spans="1:5" ht="26.25" x14ac:dyDescent="0.25">
      <c r="A14" s="121">
        <v>12</v>
      </c>
      <c r="B14" s="61" t="s">
        <v>135</v>
      </c>
      <c r="C14" s="53">
        <f t="shared" si="0"/>
        <v>30000</v>
      </c>
      <c r="D14" s="54">
        <v>30000</v>
      </c>
      <c r="E14" s="55"/>
    </row>
    <row r="15" spans="1:5" ht="26.25" x14ac:dyDescent="0.25">
      <c r="A15" s="121">
        <v>13</v>
      </c>
      <c r="B15" s="61" t="s">
        <v>136</v>
      </c>
      <c r="C15" s="53">
        <f t="shared" si="0"/>
        <v>30000</v>
      </c>
      <c r="D15" s="54">
        <v>30000</v>
      </c>
      <c r="E15" s="55"/>
    </row>
    <row r="16" spans="1:5" ht="26.25" x14ac:dyDescent="0.25">
      <c r="A16" s="121">
        <v>14</v>
      </c>
      <c r="B16" s="122" t="s">
        <v>168</v>
      </c>
      <c r="C16" s="53">
        <f t="shared" si="0"/>
        <v>30000</v>
      </c>
      <c r="D16" s="54">
        <v>30000</v>
      </c>
      <c r="E16" s="55"/>
    </row>
    <row r="17" spans="1:5" ht="26.25" x14ac:dyDescent="0.25">
      <c r="A17" s="121">
        <v>15</v>
      </c>
      <c r="B17" s="61" t="s">
        <v>169</v>
      </c>
      <c r="C17" s="53">
        <f t="shared" si="0"/>
        <v>30000</v>
      </c>
      <c r="D17" s="54">
        <v>30000</v>
      </c>
      <c r="E17" s="55"/>
    </row>
    <row r="18" spans="1:5" ht="26.25" x14ac:dyDescent="0.25">
      <c r="A18" s="121">
        <v>16</v>
      </c>
      <c r="B18" s="122" t="s">
        <v>170</v>
      </c>
      <c r="C18" s="53">
        <f t="shared" si="0"/>
        <v>40000</v>
      </c>
      <c r="D18" s="54">
        <v>40000</v>
      </c>
      <c r="E18" s="55"/>
    </row>
    <row r="19" spans="1:5" ht="26.25" x14ac:dyDescent="0.25">
      <c r="A19" s="121">
        <v>17</v>
      </c>
      <c r="B19" s="122" t="s">
        <v>213</v>
      </c>
      <c r="C19" s="53">
        <f t="shared" si="0"/>
        <v>20000</v>
      </c>
      <c r="D19" s="54">
        <v>20000</v>
      </c>
      <c r="E19" s="55"/>
    </row>
    <row r="20" spans="1:5" ht="26.25" x14ac:dyDescent="0.25">
      <c r="A20" s="121">
        <v>18</v>
      </c>
      <c r="B20" s="122" t="s">
        <v>214</v>
      </c>
      <c r="C20" s="53">
        <f t="shared" si="0"/>
        <v>30000</v>
      </c>
      <c r="D20" s="54">
        <v>30000</v>
      </c>
      <c r="E20" s="55"/>
    </row>
    <row r="21" spans="1:5" ht="26.25" x14ac:dyDescent="0.25">
      <c r="A21" s="121">
        <v>19</v>
      </c>
      <c r="B21" s="61" t="s">
        <v>142</v>
      </c>
      <c r="C21" s="53">
        <f t="shared" si="0"/>
        <v>30000</v>
      </c>
      <c r="D21" s="54">
        <v>30000</v>
      </c>
      <c r="E21" s="55"/>
    </row>
    <row r="22" spans="1:5" ht="39" x14ac:dyDescent="0.25">
      <c r="A22" s="121">
        <v>20</v>
      </c>
      <c r="B22" s="61" t="s">
        <v>143</v>
      </c>
      <c r="C22" s="53">
        <f t="shared" si="0"/>
        <v>50000</v>
      </c>
      <c r="D22" s="54">
        <v>50000</v>
      </c>
      <c r="E22" s="55"/>
    </row>
    <row r="23" spans="1:5" ht="26.25" x14ac:dyDescent="0.25">
      <c r="A23" s="121">
        <v>21</v>
      </c>
      <c r="B23" s="61" t="s">
        <v>99</v>
      </c>
      <c r="C23" s="53">
        <f t="shared" si="0"/>
        <v>10000</v>
      </c>
      <c r="D23" s="54">
        <v>10000</v>
      </c>
      <c r="E23" s="55">
        <v>0</v>
      </c>
    </row>
    <row r="24" spans="1:5" ht="26.25" x14ac:dyDescent="0.25">
      <c r="A24" s="121">
        <v>22</v>
      </c>
      <c r="B24" s="61" t="s">
        <v>145</v>
      </c>
      <c r="C24" s="53">
        <f t="shared" si="0"/>
        <v>50000</v>
      </c>
      <c r="D24" s="54">
        <v>40000</v>
      </c>
      <c r="E24" s="55">
        <v>10000</v>
      </c>
    </row>
    <row r="25" spans="1:5" ht="26.25" x14ac:dyDescent="0.25">
      <c r="A25" s="121">
        <v>23</v>
      </c>
      <c r="B25" s="122" t="s">
        <v>172</v>
      </c>
      <c r="C25" s="53">
        <f t="shared" si="0"/>
        <v>130000</v>
      </c>
      <c r="D25" s="54">
        <v>100000</v>
      </c>
      <c r="E25" s="55">
        <v>30000</v>
      </c>
    </row>
    <row r="26" spans="1:5" ht="26.25" x14ac:dyDescent="0.25">
      <c r="A26" s="121">
        <v>24</v>
      </c>
      <c r="B26" s="61" t="s">
        <v>173</v>
      </c>
      <c r="C26" s="53">
        <f t="shared" si="0"/>
        <v>30000</v>
      </c>
      <c r="D26" s="54">
        <v>30000</v>
      </c>
      <c r="E26" s="55"/>
    </row>
    <row r="27" spans="1:5" ht="26.25" x14ac:dyDescent="0.25">
      <c r="A27" s="121">
        <v>25</v>
      </c>
      <c r="B27" s="122" t="s">
        <v>174</v>
      </c>
      <c r="C27" s="53">
        <f t="shared" si="0"/>
        <v>25000</v>
      </c>
      <c r="D27" s="54">
        <v>25000</v>
      </c>
      <c r="E27" s="55"/>
    </row>
    <row r="28" spans="1:5" x14ac:dyDescent="0.25">
      <c r="A28" s="121">
        <v>26</v>
      </c>
      <c r="B28" s="122" t="s">
        <v>152</v>
      </c>
      <c r="C28" s="53">
        <f t="shared" si="0"/>
        <v>30000</v>
      </c>
      <c r="D28" s="54">
        <v>30000</v>
      </c>
      <c r="E28" s="55"/>
    </row>
    <row r="29" spans="1:5" x14ac:dyDescent="0.25">
      <c r="A29" s="121">
        <v>27</v>
      </c>
      <c r="B29" s="122" t="s">
        <v>175</v>
      </c>
      <c r="C29" s="53">
        <f t="shared" si="0"/>
        <v>150000</v>
      </c>
      <c r="D29" s="59">
        <v>100000</v>
      </c>
      <c r="E29" s="59">
        <v>50000</v>
      </c>
    </row>
    <row r="30" spans="1:5" x14ac:dyDescent="0.25">
      <c r="A30" s="121">
        <v>28</v>
      </c>
      <c r="B30" s="61" t="s">
        <v>150</v>
      </c>
      <c r="C30" s="53">
        <f t="shared" si="0"/>
        <v>10000</v>
      </c>
      <c r="D30" s="55">
        <v>10000</v>
      </c>
      <c r="E30" s="55"/>
    </row>
    <row r="31" spans="1:5" x14ac:dyDescent="0.25">
      <c r="A31" s="121">
        <v>29</v>
      </c>
      <c r="B31" s="61" t="s">
        <v>177</v>
      </c>
      <c r="C31" s="53">
        <f t="shared" si="0"/>
        <v>50000</v>
      </c>
      <c r="D31" s="55">
        <v>30000</v>
      </c>
      <c r="E31" s="55">
        <v>20000</v>
      </c>
    </row>
    <row r="32" spans="1:5" x14ac:dyDescent="0.25">
      <c r="A32" s="121">
        <v>30</v>
      </c>
      <c r="B32" s="122" t="s">
        <v>176</v>
      </c>
      <c r="C32" s="53">
        <f t="shared" si="0"/>
        <v>20000</v>
      </c>
      <c r="D32" s="59"/>
      <c r="E32" s="59">
        <v>20000</v>
      </c>
    </row>
    <row r="33" spans="1:5" x14ac:dyDescent="0.25">
      <c r="A33" s="121">
        <v>31</v>
      </c>
      <c r="B33" s="61" t="s">
        <v>211</v>
      </c>
      <c r="C33" s="53">
        <f t="shared" si="0"/>
        <v>50000</v>
      </c>
      <c r="D33" s="55"/>
      <c r="E33" s="55">
        <v>50000</v>
      </c>
    </row>
    <row r="34" spans="1:5" x14ac:dyDescent="0.25">
      <c r="A34" s="121">
        <v>32</v>
      </c>
      <c r="B34" s="61" t="s">
        <v>212</v>
      </c>
      <c r="C34" s="53">
        <f t="shared" si="0"/>
        <v>15000</v>
      </c>
      <c r="D34" s="55"/>
      <c r="E34" s="55">
        <v>15000</v>
      </c>
    </row>
    <row r="35" spans="1:5" ht="26.25" x14ac:dyDescent="0.25">
      <c r="A35" s="121">
        <v>33</v>
      </c>
      <c r="B35" s="61" t="s">
        <v>183</v>
      </c>
      <c r="C35" s="53">
        <f t="shared" si="0"/>
        <v>0</v>
      </c>
      <c r="D35" s="59">
        <v>0</v>
      </c>
      <c r="E35" s="59">
        <v>0</v>
      </c>
    </row>
    <row r="36" spans="1:5" x14ac:dyDescent="0.25">
      <c r="A36" s="123"/>
      <c r="B36" s="124" t="s">
        <v>43</v>
      </c>
      <c r="C36" s="58">
        <f t="shared" ref="C36" si="1">SUM(C3:C35)</f>
        <v>3924838</v>
      </c>
      <c r="D36" s="58">
        <f t="shared" ref="D36" si="2">SUM(D3:D35)</f>
        <v>2595006</v>
      </c>
      <c r="E36" s="58">
        <f t="shared" ref="E36" si="3">SUM(E3:E35)</f>
        <v>1329832</v>
      </c>
    </row>
    <row r="37" spans="1:5" ht="26.25" x14ac:dyDescent="0.25">
      <c r="A37" s="121">
        <v>34</v>
      </c>
      <c r="B37" s="61" t="s">
        <v>154</v>
      </c>
      <c r="C37" s="53">
        <f t="shared" ref="C37:C41" si="4">D37+E37</f>
        <v>50000</v>
      </c>
      <c r="D37" s="54">
        <v>50000</v>
      </c>
      <c r="E37" s="55"/>
    </row>
    <row r="38" spans="1:5" ht="39" x14ac:dyDescent="0.25">
      <c r="A38" s="121">
        <v>35</v>
      </c>
      <c r="B38" s="61" t="s">
        <v>155</v>
      </c>
      <c r="C38" s="53">
        <f t="shared" si="4"/>
        <v>50000</v>
      </c>
      <c r="D38" s="54">
        <v>50000</v>
      </c>
      <c r="E38" s="55">
        <v>0</v>
      </c>
    </row>
    <row r="39" spans="1:5" ht="26.25" x14ac:dyDescent="0.25">
      <c r="A39" s="121">
        <v>36</v>
      </c>
      <c r="B39" s="61" t="s">
        <v>101</v>
      </c>
      <c r="C39" s="53">
        <f t="shared" si="4"/>
        <v>10000</v>
      </c>
      <c r="D39" s="54">
        <v>10000</v>
      </c>
      <c r="E39" s="55"/>
    </row>
    <row r="40" spans="1:5" ht="29.45" customHeight="1" x14ac:dyDescent="0.25">
      <c r="A40" s="121">
        <v>37</v>
      </c>
      <c r="B40" s="61" t="s">
        <v>156</v>
      </c>
      <c r="C40" s="53">
        <f t="shared" si="4"/>
        <v>100000</v>
      </c>
      <c r="D40" s="54">
        <v>50000</v>
      </c>
      <c r="E40" s="55">
        <v>50000</v>
      </c>
    </row>
    <row r="41" spans="1:5" ht="26.25" x14ac:dyDescent="0.25">
      <c r="A41" s="121">
        <v>38</v>
      </c>
      <c r="B41" s="61" t="s">
        <v>157</v>
      </c>
      <c r="C41" s="53">
        <f t="shared" si="4"/>
        <v>80000</v>
      </c>
      <c r="D41" s="54">
        <v>60000</v>
      </c>
      <c r="E41" s="55">
        <v>20000</v>
      </c>
    </row>
    <row r="42" spans="1:5" ht="17.25" customHeight="1" x14ac:dyDescent="0.25">
      <c r="A42" s="123"/>
      <c r="B42" s="124" t="s">
        <v>50</v>
      </c>
      <c r="C42" s="58">
        <f>SUM(C37:C41)</f>
        <v>290000</v>
      </c>
      <c r="D42" s="58">
        <f t="shared" ref="D42:E42" si="5">SUM(D37:D41)</f>
        <v>220000</v>
      </c>
      <c r="E42" s="58">
        <f t="shared" si="5"/>
        <v>70000</v>
      </c>
    </row>
    <row r="43" spans="1:5" ht="30" customHeight="1" x14ac:dyDescent="0.25">
      <c r="A43" s="121">
        <v>39</v>
      </c>
      <c r="B43" s="125" t="s">
        <v>158</v>
      </c>
      <c r="C43" s="53">
        <f t="shared" ref="C43:C46" si="6">D43+E43</f>
        <v>30000</v>
      </c>
      <c r="D43" s="59">
        <v>30000</v>
      </c>
      <c r="E43" s="60">
        <v>0</v>
      </c>
    </row>
    <row r="44" spans="1:5" ht="58.15" customHeight="1" x14ac:dyDescent="0.25">
      <c r="A44" s="121">
        <v>40</v>
      </c>
      <c r="B44" s="126" t="s">
        <v>178</v>
      </c>
      <c r="C44" s="53">
        <f t="shared" si="6"/>
        <v>60000</v>
      </c>
      <c r="D44" s="59">
        <v>60000</v>
      </c>
      <c r="E44" s="60"/>
    </row>
    <row r="45" spans="1:5" ht="41.45" customHeight="1" x14ac:dyDescent="0.25">
      <c r="A45" s="121">
        <v>41</v>
      </c>
      <c r="B45" s="126" t="s">
        <v>160</v>
      </c>
      <c r="C45" s="53">
        <f t="shared" si="6"/>
        <v>0</v>
      </c>
      <c r="D45" s="59">
        <v>0</v>
      </c>
      <c r="E45" s="60">
        <v>0</v>
      </c>
    </row>
    <row r="46" spans="1:5" ht="25.5" x14ac:dyDescent="0.25">
      <c r="A46" s="121">
        <v>42</v>
      </c>
      <c r="B46" s="126" t="s">
        <v>161</v>
      </c>
      <c r="C46" s="53">
        <f t="shared" si="6"/>
        <v>60000</v>
      </c>
      <c r="D46" s="59">
        <v>60000</v>
      </c>
      <c r="E46" s="60">
        <v>0</v>
      </c>
    </row>
    <row r="47" spans="1:5" x14ac:dyDescent="0.25">
      <c r="A47" s="123"/>
      <c r="B47" s="124" t="s">
        <v>48</v>
      </c>
      <c r="C47" s="58">
        <f>SUM(C43:C46)</f>
        <v>150000</v>
      </c>
      <c r="D47" s="58">
        <f t="shared" ref="D47:E47" si="7">SUM(D43:D46)</f>
        <v>150000</v>
      </c>
      <c r="E47" s="58">
        <f t="shared" si="7"/>
        <v>0</v>
      </c>
    </row>
    <row r="48" spans="1:5" x14ac:dyDescent="0.25">
      <c r="A48" s="121">
        <v>43</v>
      </c>
      <c r="B48" s="127" t="s">
        <v>218</v>
      </c>
      <c r="C48" s="53">
        <f t="shared" ref="C48:C49" si="8">D48+E48</f>
        <v>30000</v>
      </c>
      <c r="D48" s="59">
        <v>30000</v>
      </c>
      <c r="E48" s="60"/>
    </row>
    <row r="49" spans="1:5" ht="26.25" x14ac:dyDescent="0.25">
      <c r="A49" s="121">
        <v>44</v>
      </c>
      <c r="B49" s="128" t="s">
        <v>179</v>
      </c>
      <c r="C49" s="53">
        <f t="shared" si="8"/>
        <v>15000</v>
      </c>
      <c r="D49" s="59">
        <v>15000</v>
      </c>
      <c r="E49" s="60">
        <v>0</v>
      </c>
    </row>
    <row r="50" spans="1:5" x14ac:dyDescent="0.25">
      <c r="A50" s="123"/>
      <c r="B50" s="124" t="s">
        <v>45</v>
      </c>
      <c r="C50" s="58">
        <f>SUM(C48:C49)</f>
        <v>45000</v>
      </c>
      <c r="D50" s="58">
        <f t="shared" ref="D50:E50" si="9">SUM(D48:D49)</f>
        <v>45000</v>
      </c>
      <c r="E50" s="58">
        <f t="shared" si="9"/>
        <v>0</v>
      </c>
    </row>
    <row r="51" spans="1:5" x14ac:dyDescent="0.25">
      <c r="A51" s="121">
        <v>45</v>
      </c>
      <c r="B51" s="129" t="s">
        <v>180</v>
      </c>
      <c r="C51" s="53">
        <f>D51+E51</f>
        <v>0</v>
      </c>
      <c r="D51" s="59">
        <v>0</v>
      </c>
      <c r="E51" s="60">
        <v>0</v>
      </c>
    </row>
    <row r="52" spans="1:5" x14ac:dyDescent="0.25">
      <c r="A52" s="123"/>
      <c r="B52" s="130" t="s">
        <v>164</v>
      </c>
      <c r="C52" s="58">
        <f>SUM(C51)</f>
        <v>0</v>
      </c>
      <c r="D52" s="58">
        <f t="shared" ref="D52:E52" si="10">SUM(D51)</f>
        <v>0</v>
      </c>
      <c r="E52" s="58">
        <f t="shared" si="10"/>
        <v>0</v>
      </c>
    </row>
    <row r="53" spans="1:5" x14ac:dyDescent="0.25">
      <c r="A53" s="121">
        <v>46</v>
      </c>
      <c r="B53" s="129" t="s">
        <v>219</v>
      </c>
      <c r="C53" s="53">
        <f t="shared" ref="C53:C54" si="11">D53+E53</f>
        <v>35000</v>
      </c>
      <c r="D53" s="59">
        <v>35000</v>
      </c>
      <c r="E53" s="60"/>
    </row>
    <row r="54" spans="1:5" ht="16.149999999999999" customHeight="1" x14ac:dyDescent="0.25">
      <c r="A54" s="121">
        <v>47</v>
      </c>
      <c r="B54" s="125" t="s">
        <v>165</v>
      </c>
      <c r="C54" s="53">
        <f t="shared" si="11"/>
        <v>0</v>
      </c>
      <c r="D54" s="59"/>
      <c r="E54" s="60"/>
    </row>
    <row r="55" spans="1:5" x14ac:dyDescent="0.25">
      <c r="A55" s="123"/>
      <c r="B55" s="124" t="s">
        <v>46</v>
      </c>
      <c r="C55" s="58">
        <f>SUM(C53:C54)</f>
        <v>35000</v>
      </c>
      <c r="D55" s="58">
        <f t="shared" ref="D55:E55" si="12">SUM(D53:D54)</f>
        <v>35000</v>
      </c>
      <c r="E55" s="58">
        <f t="shared" si="12"/>
        <v>0</v>
      </c>
    </row>
    <row r="56" spans="1:5" ht="26.25" x14ac:dyDescent="0.25">
      <c r="A56" s="121">
        <v>48</v>
      </c>
      <c r="B56" s="125" t="s">
        <v>220</v>
      </c>
      <c r="C56" s="53">
        <f>D56+E56</f>
        <v>30000</v>
      </c>
      <c r="D56" s="59">
        <v>30000</v>
      </c>
      <c r="E56" s="60"/>
    </row>
    <row r="57" spans="1:5" x14ac:dyDescent="0.25">
      <c r="A57" s="123"/>
      <c r="B57" s="124" t="s">
        <v>47</v>
      </c>
      <c r="C57" s="58">
        <f>SUM(C56:C56)</f>
        <v>30000</v>
      </c>
      <c r="D57" s="58">
        <f t="shared" ref="D57:E57" si="13">SUM(D56:D56)</f>
        <v>30000</v>
      </c>
      <c r="E57" s="58">
        <f t="shared" si="13"/>
        <v>0</v>
      </c>
    </row>
    <row r="58" spans="1:5" x14ac:dyDescent="0.25">
      <c r="A58" s="121">
        <v>49</v>
      </c>
      <c r="B58" s="131" t="s">
        <v>166</v>
      </c>
      <c r="C58" s="53">
        <f>D58+E58</f>
        <v>0</v>
      </c>
      <c r="D58" s="87"/>
      <c r="E58" s="60">
        <v>0</v>
      </c>
    </row>
    <row r="59" spans="1:5" x14ac:dyDescent="0.25">
      <c r="A59" s="123"/>
      <c r="B59" s="124" t="s">
        <v>100</v>
      </c>
      <c r="C59" s="58">
        <f>C58</f>
        <v>0</v>
      </c>
      <c r="D59" s="58">
        <f t="shared" ref="D59:E59" si="14">D58</f>
        <v>0</v>
      </c>
      <c r="E59" s="58">
        <f t="shared" si="14"/>
        <v>0</v>
      </c>
    </row>
    <row r="60" spans="1:5" ht="26.25" x14ac:dyDescent="0.25">
      <c r="A60" s="121">
        <v>50</v>
      </c>
      <c r="B60" s="61" t="s">
        <v>167</v>
      </c>
      <c r="C60" s="53">
        <f>D60+E60</f>
        <v>120000</v>
      </c>
      <c r="D60" s="59">
        <v>80000</v>
      </c>
      <c r="E60" s="60">
        <v>40000</v>
      </c>
    </row>
    <row r="61" spans="1:5" x14ac:dyDescent="0.25">
      <c r="A61" s="56"/>
      <c r="B61" s="57" t="s">
        <v>44</v>
      </c>
      <c r="C61" s="58">
        <f>SUM(C60:C60)</f>
        <v>120000</v>
      </c>
      <c r="D61" s="58">
        <f t="shared" ref="D61:E61" si="15">SUM(D60:D60)</f>
        <v>80000</v>
      </c>
      <c r="E61" s="58">
        <f t="shared" si="15"/>
        <v>40000</v>
      </c>
    </row>
    <row r="62" spans="1:5" x14ac:dyDescent="0.25">
      <c r="A62" s="86"/>
      <c r="B62" s="63" t="s">
        <v>49</v>
      </c>
      <c r="C62" s="132">
        <f>C36+C42+C47+C50+C52+C55+C57+C59+C61</f>
        <v>4594838</v>
      </c>
      <c r="D62" s="132">
        <f t="shared" ref="D62:E62" si="16">D36+D42+D47+D50+D52+D55+D57+D59+D61</f>
        <v>3155006</v>
      </c>
      <c r="E62" s="132">
        <f t="shared" si="16"/>
        <v>1439832</v>
      </c>
    </row>
  </sheetData>
  <pageMargins left="0" right="0" top="0.35433070866141736" bottom="0.19685039370078741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Tabela 1.</vt:lpstr>
      <vt:lpstr>Tabela 3.</vt:lpstr>
      <vt:lpstr>Tabela 6.</vt:lpstr>
      <vt:lpstr>Tabela 7.</vt:lpstr>
      <vt:lpstr>Tabela 8.</vt:lpstr>
      <vt:lpstr>Tabela 9.</vt:lpstr>
      <vt:lpstr>Tabela 10. </vt:lpstr>
      <vt:lpstr>Projektet 2026</vt:lpstr>
      <vt:lpstr>Projektet 2027</vt:lpstr>
      <vt:lpstr>Projektet 2028</vt:lpstr>
      <vt:lpstr>Tabela.11</vt:lpstr>
      <vt:lpstr>Tabela 13.</vt:lpstr>
      <vt:lpstr>'Projektet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2025-10-09T12:42:08Z</dcterms:modified>
</cp:coreProperties>
</file>