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Ex1.xml" ContentType="application/vnd.ms-office.chartex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05" yWindow="-105" windowWidth="23250" windowHeight="12450"/>
  </bookViews>
  <sheets>
    <sheet name="Tabela 1." sheetId="1" r:id="rId1"/>
    <sheet name="Tabela 3." sheetId="10" r:id="rId2"/>
    <sheet name="Tabela 6." sheetId="2" r:id="rId3"/>
    <sheet name="Tabela 7." sheetId="16" r:id="rId4"/>
    <sheet name="Tabela 8." sheetId="21" r:id="rId5"/>
    <sheet name="Tabela 9." sheetId="22" r:id="rId6"/>
    <sheet name="Tabela 10." sheetId="23" r:id="rId7"/>
    <sheet name="Projektet 2026" sheetId="11" r:id="rId8"/>
    <sheet name="Projektet 2027" sheetId="13" r:id="rId9"/>
    <sheet name="Projektet 2028" sheetId="5" r:id="rId10"/>
    <sheet name="Tabela.11" sheetId="17" r:id="rId11"/>
    <sheet name="Tabela 12." sheetId="18" r:id="rId12"/>
    <sheet name="Tabela 13." sheetId="19" r:id="rId13"/>
  </sheets>
  <definedNames>
    <definedName name="_xlchart.v1.0" hidden="1">'Tabela 3.'!$A$45:$A$47</definedName>
    <definedName name="_xlchart.v1.1" hidden="1">'Tabela 3.'!$B$45:$B$47</definedName>
    <definedName name="_xlnm.Print_Area" localSheetId="7">'Projektet 2026'!$A$1:$E$60</definedName>
  </definedNames>
  <calcPr calcId="162913"/>
</workbook>
</file>

<file path=xl/calcChain.xml><?xml version="1.0" encoding="utf-8"?>
<calcChain xmlns="http://schemas.openxmlformats.org/spreadsheetml/2006/main">
  <c r="G20" i="19" l="1"/>
  <c r="F20" i="19"/>
  <c r="F19" i="19"/>
  <c r="G18" i="19"/>
  <c r="F18" i="19"/>
  <c r="G17" i="19"/>
  <c r="F17" i="19"/>
  <c r="G16" i="19"/>
  <c r="F16" i="19"/>
  <c r="F15" i="19"/>
  <c r="F14" i="19"/>
  <c r="F13" i="19"/>
  <c r="F12" i="19"/>
  <c r="F11" i="19"/>
  <c r="F10" i="19"/>
  <c r="G9" i="19"/>
  <c r="F9" i="19"/>
  <c r="H9" i="19" s="1"/>
  <c r="F8" i="19"/>
  <c r="G7" i="19"/>
  <c r="G6" i="19"/>
  <c r="F6" i="19"/>
  <c r="H6" i="19" s="1"/>
  <c r="G5" i="19"/>
  <c r="F5" i="19"/>
  <c r="G4" i="19"/>
  <c r="F4" i="19"/>
  <c r="H4" i="19" s="1"/>
  <c r="C36" i="18"/>
  <c r="F35" i="18"/>
  <c r="G35" i="18" s="1"/>
  <c r="C42" i="18"/>
  <c r="C47" i="18"/>
  <c r="C50" i="18"/>
  <c r="C52" i="18"/>
  <c r="C55" i="18"/>
  <c r="C57" i="18"/>
  <c r="C59" i="18"/>
  <c r="C61" i="18"/>
  <c r="E10" i="23"/>
  <c r="D10" i="23"/>
  <c r="D17" i="23"/>
  <c r="E19" i="23"/>
  <c r="D19" i="23"/>
  <c r="D21" i="23"/>
  <c r="C20" i="23"/>
  <c r="C21" i="23"/>
  <c r="C18" i="23"/>
  <c r="C17" i="23"/>
  <c r="C14" i="23"/>
  <c r="C11" i="23"/>
  <c r="C16" i="23"/>
  <c r="C15" i="23"/>
  <c r="C12" i="23"/>
  <c r="C13" i="23"/>
  <c r="C10" i="23"/>
  <c r="C9" i="23"/>
  <c r="C8" i="23"/>
  <c r="C7" i="23"/>
  <c r="C6" i="23"/>
  <c r="C5" i="23"/>
  <c r="E19" i="22"/>
  <c r="E18" i="22"/>
  <c r="E10" i="22"/>
  <c r="D21" i="22"/>
  <c r="D19" i="22"/>
  <c r="D10" i="22"/>
  <c r="C17" i="22"/>
  <c r="C12" i="22"/>
  <c r="C49" i="11"/>
  <c r="C61" i="11"/>
  <c r="D21" i="21"/>
  <c r="C57" i="5"/>
  <c r="C55" i="5"/>
  <c r="C56" i="5" s="1"/>
  <c r="C53" i="5"/>
  <c r="C54" i="5" s="1"/>
  <c r="C51" i="5"/>
  <c r="C50" i="5"/>
  <c r="C48" i="5"/>
  <c r="C49" i="5" s="1"/>
  <c r="C46" i="5"/>
  <c r="C45" i="5"/>
  <c r="C43" i="5"/>
  <c r="C42" i="5"/>
  <c r="C41" i="5"/>
  <c r="C40" i="5"/>
  <c r="C44" i="5" s="1"/>
  <c r="C38" i="5"/>
  <c r="C39" i="5" s="1"/>
  <c r="C37" i="5"/>
  <c r="C36" i="5"/>
  <c r="C35" i="5"/>
  <c r="C34" i="5"/>
  <c r="C32" i="5"/>
  <c r="C31" i="5"/>
  <c r="C30" i="5"/>
  <c r="C29" i="5"/>
  <c r="C28" i="5"/>
  <c r="C27" i="5"/>
  <c r="C26" i="5"/>
  <c r="C25" i="5"/>
  <c r="C24" i="5"/>
  <c r="C23" i="5"/>
  <c r="C22" i="5"/>
  <c r="C21" i="5"/>
  <c r="C20" i="5"/>
  <c r="C19" i="5"/>
  <c r="C18" i="5"/>
  <c r="C17" i="5"/>
  <c r="C16" i="5"/>
  <c r="C15" i="5"/>
  <c r="C14" i="5"/>
  <c r="C13" i="5"/>
  <c r="C12" i="5"/>
  <c r="C11" i="5"/>
  <c r="C10" i="5"/>
  <c r="C9" i="5"/>
  <c r="C8" i="5"/>
  <c r="C7" i="5"/>
  <c r="C6" i="5"/>
  <c r="C5" i="5"/>
  <c r="C4" i="5"/>
  <c r="C3" i="5"/>
  <c r="E58" i="5"/>
  <c r="E56" i="5"/>
  <c r="D56" i="5"/>
  <c r="E54" i="5"/>
  <c r="D54" i="5"/>
  <c r="E52" i="5"/>
  <c r="D52" i="5"/>
  <c r="C52" i="5"/>
  <c r="E49" i="5"/>
  <c r="D49" i="5"/>
  <c r="E47" i="5"/>
  <c r="D47" i="5"/>
  <c r="C47" i="5"/>
  <c r="E44" i="5"/>
  <c r="D44" i="5"/>
  <c r="E39" i="5"/>
  <c r="D39" i="5"/>
  <c r="E33" i="5"/>
  <c r="E59" i="5" s="1"/>
  <c r="D33" i="5"/>
  <c r="D59" i="5" s="1"/>
  <c r="C61" i="13"/>
  <c r="C59" i="13"/>
  <c r="C60" i="13" s="1"/>
  <c r="C57" i="13"/>
  <c r="C58" i="13" s="1"/>
  <c r="C55" i="13"/>
  <c r="C56" i="13" s="1"/>
  <c r="C53" i="13"/>
  <c r="C52" i="13"/>
  <c r="C50" i="13"/>
  <c r="C51" i="13" s="1"/>
  <c r="C48" i="13"/>
  <c r="C47" i="13"/>
  <c r="C49" i="13" s="1"/>
  <c r="C45" i="13"/>
  <c r="C44" i="13"/>
  <c r="C43" i="13"/>
  <c r="C42" i="13"/>
  <c r="C46" i="13" s="1"/>
  <c r="C40" i="13"/>
  <c r="C39" i="13"/>
  <c r="C38" i="13"/>
  <c r="C37" i="13"/>
  <c r="C36" i="13"/>
  <c r="C41" i="13" s="1"/>
  <c r="C34" i="13"/>
  <c r="C33" i="13"/>
  <c r="C32" i="13"/>
  <c r="C31" i="13"/>
  <c r="C30" i="13"/>
  <c r="C29" i="13"/>
  <c r="C28" i="13"/>
  <c r="C27" i="13"/>
  <c r="C26" i="13"/>
  <c r="C25" i="13"/>
  <c r="C24" i="13"/>
  <c r="C23" i="13"/>
  <c r="C22" i="13"/>
  <c r="C21" i="13"/>
  <c r="C20" i="13"/>
  <c r="C19" i="13"/>
  <c r="C18" i="13"/>
  <c r="C17" i="13"/>
  <c r="C16" i="13"/>
  <c r="C15" i="13"/>
  <c r="C14" i="13"/>
  <c r="C13" i="13"/>
  <c r="C12" i="13"/>
  <c r="C11" i="13"/>
  <c r="C10" i="13"/>
  <c r="C9" i="13"/>
  <c r="C8" i="13"/>
  <c r="C7" i="13"/>
  <c r="C6" i="13"/>
  <c r="C5" i="13"/>
  <c r="C4" i="13"/>
  <c r="C3" i="13"/>
  <c r="C35" i="13" s="1"/>
  <c r="E60" i="13"/>
  <c r="D60" i="13"/>
  <c r="E58" i="13"/>
  <c r="D58" i="13"/>
  <c r="E56" i="13"/>
  <c r="D56" i="13"/>
  <c r="E54" i="13"/>
  <c r="D54" i="13"/>
  <c r="C54" i="13"/>
  <c r="E51" i="13"/>
  <c r="D51" i="13"/>
  <c r="E49" i="13"/>
  <c r="D49" i="13"/>
  <c r="E46" i="13"/>
  <c r="D46" i="13"/>
  <c r="E41" i="13"/>
  <c r="D41" i="13"/>
  <c r="E35" i="13"/>
  <c r="E61" i="13" s="1"/>
  <c r="D35" i="13"/>
  <c r="D61" i="13" s="1"/>
  <c r="E9" i="2"/>
  <c r="G8" i="2"/>
  <c r="F8" i="2"/>
  <c r="E8" i="2"/>
  <c r="D8" i="2"/>
  <c r="D7" i="2" s="1"/>
  <c r="G7" i="2"/>
  <c r="F7" i="2"/>
  <c r="E7" i="2"/>
  <c r="G6" i="2"/>
  <c r="F6" i="2"/>
  <c r="E6" i="2"/>
  <c r="G4" i="2"/>
  <c r="F4" i="2"/>
  <c r="E4" i="2"/>
  <c r="D4" i="2"/>
  <c r="C33" i="5" l="1"/>
  <c r="C62" i="18"/>
  <c r="C59" i="5"/>
  <c r="C59" i="11" l="1"/>
  <c r="C57" i="11"/>
  <c r="C58" i="11" s="1"/>
  <c r="C55" i="11"/>
  <c r="C56" i="11" s="1"/>
  <c r="C53" i="11"/>
  <c r="C54" i="11" s="1"/>
  <c r="C52" i="11"/>
  <c r="C50" i="11"/>
  <c r="C51" i="11" s="1"/>
  <c r="C48" i="11"/>
  <c r="C47" i="11"/>
  <c r="C45" i="11"/>
  <c r="C44" i="11"/>
  <c r="C43" i="11"/>
  <c r="C46" i="11" s="1"/>
  <c r="C42" i="11"/>
  <c r="C40" i="11"/>
  <c r="C39" i="11"/>
  <c r="C38" i="11"/>
  <c r="C37" i="11"/>
  <c r="C36" i="11"/>
  <c r="C41" i="11" s="1"/>
  <c r="D35" i="11"/>
  <c r="E35" i="11"/>
  <c r="C34" i="11"/>
  <c r="C33" i="11"/>
  <c r="C32" i="11"/>
  <c r="C31" i="11"/>
  <c r="C30" i="11"/>
  <c r="C29" i="11"/>
  <c r="C28" i="11"/>
  <c r="C27" i="11"/>
  <c r="C26" i="11"/>
  <c r="C25" i="11"/>
  <c r="C24" i="11"/>
  <c r="C23" i="11"/>
  <c r="C22" i="11"/>
  <c r="C21" i="11"/>
  <c r="C20" i="11"/>
  <c r="C19" i="11"/>
  <c r="C18" i="11"/>
  <c r="C17" i="11"/>
  <c r="C16" i="11"/>
  <c r="C15" i="11"/>
  <c r="C14" i="11"/>
  <c r="C13" i="11"/>
  <c r="C12" i="11"/>
  <c r="C11" i="11"/>
  <c r="C10" i="11"/>
  <c r="C9" i="11"/>
  <c r="C8" i="11"/>
  <c r="C7" i="11"/>
  <c r="C6" i="11"/>
  <c r="C5" i="11"/>
  <c r="C4" i="11"/>
  <c r="C3" i="11"/>
  <c r="E60" i="11"/>
  <c r="E61" i="11" s="1"/>
  <c r="D60" i="11"/>
  <c r="C60" i="11"/>
  <c r="E58" i="11"/>
  <c r="D58" i="11"/>
  <c r="E56" i="11"/>
  <c r="D56" i="11"/>
  <c r="E54" i="11"/>
  <c r="D54" i="11"/>
  <c r="E51" i="11"/>
  <c r="D51" i="11"/>
  <c r="E49" i="11"/>
  <c r="D49" i="11"/>
  <c r="E46" i="11"/>
  <c r="D46" i="11"/>
  <c r="E41" i="11"/>
  <c r="D41" i="11"/>
  <c r="D61" i="11" s="1"/>
  <c r="C35" i="11"/>
  <c r="B47" i="10" l="1"/>
  <c r="B46" i="10"/>
  <c r="B45" i="10"/>
  <c r="E40" i="10"/>
  <c r="D40" i="10"/>
  <c r="C40" i="10"/>
  <c r="C36" i="10"/>
  <c r="E35" i="10"/>
  <c r="E36" i="10" s="1"/>
  <c r="D35" i="10"/>
  <c r="D36" i="10" s="1"/>
  <c r="C35" i="10"/>
  <c r="E29" i="10"/>
  <c r="D29" i="10"/>
  <c r="C29" i="10"/>
  <c r="D26" i="10"/>
  <c r="E24" i="10"/>
  <c r="E19" i="10" s="1"/>
  <c r="D24" i="10"/>
  <c r="C24" i="10"/>
  <c r="D23" i="10"/>
  <c r="C23" i="10"/>
  <c r="D21" i="10"/>
  <c r="C21" i="10"/>
  <c r="D13" i="10"/>
  <c r="E12" i="10"/>
  <c r="D12" i="10"/>
  <c r="C12" i="10"/>
  <c r="E9" i="10"/>
  <c r="D9" i="10"/>
  <c r="C9" i="10"/>
  <c r="D7" i="10"/>
  <c r="C7" i="10"/>
  <c r="C6" i="10" s="1"/>
  <c r="E6" i="10"/>
  <c r="D6" i="10"/>
  <c r="E3" i="10"/>
  <c r="D3" i="10"/>
  <c r="C3" i="10"/>
  <c r="E31" i="10" l="1"/>
  <c r="E41" i="10" s="1"/>
  <c r="D19" i="10"/>
  <c r="D31" i="10" s="1"/>
  <c r="D41" i="10" s="1"/>
  <c r="C19" i="10"/>
  <c r="C31" i="10" s="1"/>
  <c r="C41" i="10" s="1"/>
  <c r="E61" i="18" l="1"/>
  <c r="D61" i="18"/>
  <c r="E59" i="18"/>
  <c r="D59" i="18"/>
  <c r="E57" i="18"/>
  <c r="D57" i="18"/>
  <c r="E55" i="18"/>
  <c r="D55" i="18"/>
  <c r="E52" i="18"/>
  <c r="D52" i="18"/>
  <c r="E50" i="18"/>
  <c r="D50" i="18"/>
  <c r="E47" i="18"/>
  <c r="D47" i="18"/>
  <c r="E42" i="18"/>
  <c r="D42" i="18"/>
  <c r="D36" i="18"/>
  <c r="E36" i="18"/>
  <c r="F26" i="18"/>
  <c r="D62" i="18" l="1"/>
  <c r="E62" i="18"/>
  <c r="F5" i="18"/>
  <c r="F6" i="18"/>
  <c r="F7" i="18"/>
  <c r="F8" i="18"/>
  <c r="F9" i="18"/>
  <c r="F10" i="18"/>
  <c r="F11" i="18"/>
  <c r="F12" i="18"/>
  <c r="F13" i="18"/>
  <c r="F14" i="18"/>
  <c r="F15" i="18"/>
  <c r="F16" i="18"/>
  <c r="F17" i="18"/>
  <c r="F18" i="18"/>
  <c r="F19" i="18"/>
  <c r="F20" i="18"/>
  <c r="F21" i="18"/>
  <c r="F22" i="18"/>
  <c r="F23" i="18"/>
  <c r="F24" i="18"/>
  <c r="F25" i="18"/>
  <c r="F27" i="18"/>
  <c r="F28" i="18"/>
  <c r="F29" i="18"/>
  <c r="F30" i="18"/>
  <c r="F31" i="18"/>
  <c r="F32" i="18"/>
  <c r="F33" i="18"/>
  <c r="G33" i="18" s="1"/>
  <c r="F34" i="18"/>
  <c r="G34" i="18" s="1"/>
  <c r="F36" i="18"/>
  <c r="F37" i="18"/>
  <c r="F38" i="18"/>
  <c r="F39" i="18"/>
  <c r="F40" i="18"/>
  <c r="F41" i="18"/>
  <c r="F43" i="18"/>
  <c r="F44" i="18"/>
  <c r="G44" i="18" s="1"/>
  <c r="F45" i="18"/>
  <c r="G45" i="18" s="1"/>
  <c r="F46" i="18"/>
  <c r="G46" i="18" s="1"/>
  <c r="F47" i="18"/>
  <c r="G47" i="18" s="1"/>
  <c r="F48" i="18"/>
  <c r="F49" i="18"/>
  <c r="G49" i="18" s="1"/>
  <c r="F51" i="18"/>
  <c r="F52" i="18" s="1"/>
  <c r="F53" i="18"/>
  <c r="F54" i="18"/>
  <c r="G54" i="18" s="1"/>
  <c r="F56" i="18"/>
  <c r="F58" i="18"/>
  <c r="F59" i="18" s="1"/>
  <c r="F60" i="18"/>
  <c r="F4" i="18"/>
  <c r="F55" i="18" l="1"/>
  <c r="G55" i="18" s="1"/>
  <c r="F42" i="18"/>
  <c r="F61" i="18"/>
  <c r="G60" i="18"/>
  <c r="F57" i="18"/>
  <c r="G57" i="18" s="1"/>
  <c r="G56" i="18"/>
  <c r="F50" i="18"/>
  <c r="G50" i="18" s="1"/>
  <c r="G21" i="19"/>
  <c r="F26" i="19" s="1"/>
  <c r="F21" i="19"/>
  <c r="F25" i="19" s="1"/>
  <c r="B21" i="19"/>
  <c r="C20" i="19"/>
  <c r="D20" i="19" s="1"/>
  <c r="E20" i="19" s="1"/>
  <c r="B20" i="19"/>
  <c r="H11" i="19"/>
  <c r="H5" i="19"/>
  <c r="H20" i="19"/>
  <c r="H19" i="19"/>
  <c r="H18" i="19"/>
  <c r="H17" i="19"/>
  <c r="H15" i="19"/>
  <c r="H14" i="19"/>
  <c r="H13" i="19"/>
  <c r="H12" i="19"/>
  <c r="H10" i="19"/>
  <c r="H8" i="19"/>
  <c r="H7" i="19"/>
  <c r="D19" i="19"/>
  <c r="E19" i="19" s="1"/>
  <c r="D18" i="19"/>
  <c r="E18" i="19" s="1"/>
  <c r="D17" i="19"/>
  <c r="E17" i="19" s="1"/>
  <c r="D16" i="19"/>
  <c r="E16" i="19" s="1"/>
  <c r="D15" i="19"/>
  <c r="E15" i="19" s="1"/>
  <c r="D14" i="19"/>
  <c r="E14" i="19" s="1"/>
  <c r="D13" i="19"/>
  <c r="E13" i="19" s="1"/>
  <c r="D12" i="19"/>
  <c r="E12" i="19" s="1"/>
  <c r="D11" i="19"/>
  <c r="E11" i="19" s="1"/>
  <c r="D10" i="19"/>
  <c r="E10" i="19" s="1"/>
  <c r="D9" i="19"/>
  <c r="E9" i="19" s="1"/>
  <c r="D8" i="19"/>
  <c r="E8" i="19" s="1"/>
  <c r="D7" i="19"/>
  <c r="E7" i="19" s="1"/>
  <c r="D6" i="19"/>
  <c r="E6" i="19" s="1"/>
  <c r="D5" i="19"/>
  <c r="E5" i="19" s="1"/>
  <c r="D4" i="19"/>
  <c r="E4" i="19" s="1"/>
  <c r="B21" i="23"/>
  <c r="F5" i="23"/>
  <c r="B21" i="22"/>
  <c r="F5" i="22"/>
  <c r="F5" i="21"/>
  <c r="B21" i="21"/>
  <c r="C21" i="19" l="1"/>
  <c r="D21" i="19" s="1"/>
  <c r="E21" i="19" s="1"/>
  <c r="F62" i="18"/>
  <c r="G62" i="18" s="1"/>
  <c r="H16" i="19"/>
  <c r="D20" i="2" l="1"/>
  <c r="D19" i="2"/>
  <c r="D18" i="2"/>
  <c r="D17" i="2"/>
  <c r="D16" i="2"/>
  <c r="G22" i="23"/>
  <c r="F22" i="23"/>
  <c r="E22" i="23"/>
  <c r="D22" i="23"/>
  <c r="C22" i="23"/>
  <c r="B22" i="23"/>
  <c r="H21" i="23"/>
  <c r="H20" i="23"/>
  <c r="H19" i="23"/>
  <c r="H18" i="23"/>
  <c r="H17" i="23"/>
  <c r="H16" i="23"/>
  <c r="H15" i="23"/>
  <c r="H14" i="23"/>
  <c r="H13" i="23"/>
  <c r="H12" i="23"/>
  <c r="H11" i="23"/>
  <c r="H10" i="23"/>
  <c r="H9" i="23"/>
  <c r="H8" i="23"/>
  <c r="H7" i="23"/>
  <c r="H6" i="23"/>
  <c r="H5" i="23"/>
  <c r="G22" i="22"/>
  <c r="F22" i="22"/>
  <c r="E22" i="22"/>
  <c r="D22" i="22"/>
  <c r="C22" i="22"/>
  <c r="B22" i="22"/>
  <c r="H21" i="22"/>
  <c r="H20" i="22"/>
  <c r="H19" i="22"/>
  <c r="H18" i="22"/>
  <c r="H17" i="22"/>
  <c r="H16" i="22"/>
  <c r="H15" i="22"/>
  <c r="H14" i="22"/>
  <c r="H13" i="22"/>
  <c r="H12" i="22"/>
  <c r="H11" i="22"/>
  <c r="H10" i="22"/>
  <c r="H9" i="22"/>
  <c r="H8" i="22"/>
  <c r="H7" i="22"/>
  <c r="H6" i="22"/>
  <c r="H5" i="22"/>
  <c r="G22" i="21"/>
  <c r="F22" i="21"/>
  <c r="E22" i="21"/>
  <c r="D22" i="21"/>
  <c r="C22" i="21"/>
  <c r="B22" i="21"/>
  <c r="H21" i="21"/>
  <c r="H20" i="21"/>
  <c r="H19" i="21"/>
  <c r="H18" i="21"/>
  <c r="H17" i="21"/>
  <c r="H16" i="21"/>
  <c r="H15" i="21"/>
  <c r="H14" i="21"/>
  <c r="H13" i="21"/>
  <c r="H12" i="21"/>
  <c r="H11" i="21"/>
  <c r="H10" i="21"/>
  <c r="H9" i="21"/>
  <c r="H8" i="21"/>
  <c r="H7" i="21"/>
  <c r="H6" i="21"/>
  <c r="H5" i="21"/>
  <c r="B22" i="16"/>
  <c r="H22" i="23" l="1"/>
  <c r="H22" i="22"/>
  <c r="H22" i="21"/>
  <c r="H19" i="16" l="1"/>
  <c r="G38" i="18" l="1"/>
  <c r="G32" i="18"/>
  <c r="G31" i="18"/>
  <c r="G30" i="18"/>
  <c r="G29" i="18"/>
  <c r="G28" i="18"/>
  <c r="G20" i="18"/>
  <c r="G19" i="18"/>
  <c r="G18" i="18"/>
  <c r="G17" i="18"/>
  <c r="G16" i="18"/>
  <c r="G15" i="18"/>
  <c r="G14" i="18"/>
  <c r="G12" i="18"/>
  <c r="G27" i="18"/>
  <c r="G26" i="18"/>
  <c r="G25" i="18"/>
  <c r="G24" i="18"/>
  <c r="G23" i="18"/>
  <c r="G22" i="18"/>
  <c r="G21" i="18"/>
  <c r="G13" i="18"/>
  <c r="G11" i="18"/>
  <c r="G10" i="18"/>
  <c r="G9" i="18"/>
  <c r="G8" i="18"/>
  <c r="G61" i="18"/>
  <c r="G59" i="18"/>
  <c r="G53" i="18"/>
  <c r="G52" i="18"/>
  <c r="G51" i="18"/>
  <c r="G48" i="18"/>
  <c r="G43" i="18"/>
  <c r="G42" i="18"/>
  <c r="G41" i="18"/>
  <c r="G37" i="18"/>
  <c r="G36" i="18"/>
  <c r="G7" i="18"/>
  <c r="G6" i="18"/>
  <c r="G5" i="18"/>
  <c r="G4" i="18"/>
  <c r="B5" i="17" l="1"/>
  <c r="C4" i="17" s="1"/>
  <c r="H21" i="19" l="1"/>
  <c r="C3" i="17"/>
  <c r="C5" i="17" s="1"/>
  <c r="G22" i="16"/>
  <c r="C22" i="16"/>
  <c r="H18" i="16"/>
  <c r="H16" i="16"/>
  <c r="H15" i="16"/>
  <c r="H14" i="16"/>
  <c r="H13" i="16"/>
  <c r="H12" i="16"/>
  <c r="H11" i="16"/>
  <c r="E22" i="16"/>
  <c r="H9" i="16"/>
  <c r="H8" i="16"/>
  <c r="H7" i="16"/>
  <c r="H6" i="16"/>
  <c r="H5" i="16"/>
  <c r="D22" i="16" l="1"/>
  <c r="F22" i="16"/>
  <c r="H21" i="16"/>
  <c r="H17" i="16"/>
  <c r="H10" i="16"/>
  <c r="H20" i="16"/>
  <c r="H22" i="16" l="1"/>
  <c r="E8" i="1" l="1"/>
  <c r="D8" i="1"/>
  <c r="C8" i="1"/>
  <c r="B8" i="1"/>
</calcChain>
</file>

<file path=xl/comments1.xml><?xml version="1.0" encoding="utf-8"?>
<comments xmlns="http://schemas.openxmlformats.org/spreadsheetml/2006/main">
  <authors>
    <author>Author</author>
  </authors>
  <commentList>
    <comment ref="B15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Ka qene Asfaltim I rrugeve
</t>
        </r>
      </text>
    </comment>
  </commentList>
</comments>
</file>

<file path=xl/sharedStrings.xml><?xml version="1.0" encoding="utf-8"?>
<sst xmlns="http://schemas.openxmlformats.org/spreadsheetml/2006/main" count="485" uniqueCount="233">
  <si>
    <t>Granti i përgjithshëm</t>
  </si>
  <si>
    <t>Granti specifik i arsimit</t>
  </si>
  <si>
    <t>Granti i shëndetësisë</t>
  </si>
  <si>
    <t>Të  hyrat vetanake</t>
  </si>
  <si>
    <t>Financimi për shërbimet rezidenciale</t>
  </si>
  <si>
    <t xml:space="preserve"> Totali :</t>
  </si>
  <si>
    <t>Përshkrimi</t>
  </si>
  <si>
    <t xml:space="preserve">TË HYRAT TOTALE KOMUNALE  </t>
  </si>
  <si>
    <t xml:space="preserve"> Të hyrat vetanake </t>
  </si>
  <si>
    <t xml:space="preserve">SHPENZIMET TOTALE KOMUNALE </t>
  </si>
  <si>
    <r>
      <t xml:space="preserve"> </t>
    </r>
    <r>
      <rPr>
        <b/>
        <sz val="11"/>
        <color theme="1"/>
        <rFont val="Times New Roman"/>
        <family val="1"/>
      </rPr>
      <t xml:space="preserve">Shpenzimet rrjedhëse </t>
    </r>
  </si>
  <si>
    <t>Pagat dhe meditjet</t>
  </si>
  <si>
    <t xml:space="preserve"> Mallrat dhe  shërbim</t>
  </si>
  <si>
    <t>Shërbime komunale</t>
  </si>
  <si>
    <t>Subvencionet</t>
  </si>
  <si>
    <r>
      <t xml:space="preserve"> </t>
    </r>
    <r>
      <rPr>
        <b/>
        <sz val="11"/>
        <color theme="1"/>
        <rFont val="Times New Roman"/>
        <family val="1"/>
      </rPr>
      <t xml:space="preserve">Shpenzimet Kapitale </t>
    </r>
  </si>
  <si>
    <t>Grantet dhe transferet  qeveritare</t>
  </si>
  <si>
    <t xml:space="preserve">Programet </t>
  </si>
  <si>
    <t xml:space="preserve">Paga/Mëditje </t>
  </si>
  <si>
    <t>Mallra/Shërbime</t>
  </si>
  <si>
    <t>Komunali</t>
  </si>
  <si>
    <t>Subvencione</t>
  </si>
  <si>
    <t>Investime Kapitale</t>
  </si>
  <si>
    <t>Gjithsej</t>
  </si>
  <si>
    <t>Zyra e Kryetarit</t>
  </si>
  <si>
    <t>Zyra e Kuvendit Komunal</t>
  </si>
  <si>
    <t>Administrata dhe Personeli</t>
  </si>
  <si>
    <t>Inspektimet</t>
  </si>
  <si>
    <t>Buxheti dhe financat</t>
  </si>
  <si>
    <t>Infrastruktura Publike</t>
  </si>
  <si>
    <t>Zjarrfikësit dhe Inspektimet</t>
  </si>
  <si>
    <t>Zyra Komunale për Komunitete</t>
  </si>
  <si>
    <t>Bujqësi, Pylltari dhe Zhvillim Rural</t>
  </si>
  <si>
    <t xml:space="preserve">Kadastra dhe Gjeodezia </t>
  </si>
  <si>
    <t>Planifikimi urban dhe mjedisi</t>
  </si>
  <si>
    <t>Shëndetësia</t>
  </si>
  <si>
    <t>Shërbimet sociale</t>
  </si>
  <si>
    <t>Kultura, rinia dhe sporti</t>
  </si>
  <si>
    <t>Arsimi dhe shkenca</t>
  </si>
  <si>
    <t>Çështjet gjinore</t>
  </si>
  <si>
    <t>Tabela 6. Korniza Buxhetore Komunale, në euro</t>
  </si>
  <si>
    <t>Totali</t>
  </si>
  <si>
    <t xml:space="preserve">Bashkëfinancim me donatorë </t>
  </si>
  <si>
    <t>Ndertimi i rrugëve dhe infrastruktures nentokesore ne Poterqe-Dugajeve-Drenovce</t>
  </si>
  <si>
    <t>Urbanizmi</t>
  </si>
  <si>
    <t>Bujqesia</t>
  </si>
  <si>
    <t>Shendetësia</t>
  </si>
  <si>
    <t>Administrata</t>
  </si>
  <si>
    <t>Kultura</t>
  </si>
  <si>
    <t>Arsimi</t>
  </si>
  <si>
    <t>Totali :</t>
  </si>
  <si>
    <t>Infrastruktura rrugore</t>
  </si>
  <si>
    <t>Projektet me prioritet për vitin  2026</t>
  </si>
  <si>
    <t>Kodet</t>
  </si>
  <si>
    <t>BURIMET E  TË  HYRAVE</t>
  </si>
  <si>
    <t>1)</t>
  </si>
  <si>
    <t>Drejtoria e Urbanizmit</t>
  </si>
  <si>
    <t>Lejet për ndërtim</t>
  </si>
  <si>
    <t>3)</t>
  </si>
  <si>
    <t>Drejtoria e Inspekcionit</t>
  </si>
  <si>
    <t>Denimet mandatore</t>
  </si>
  <si>
    <t>Komisioni inspektues</t>
  </si>
  <si>
    <t>5)</t>
  </si>
  <si>
    <t>Kadastra</t>
  </si>
  <si>
    <t>Të hyrat nga shërbimet kadastrale</t>
  </si>
  <si>
    <t>6)</t>
  </si>
  <si>
    <t>Administrata e përgjithshme</t>
  </si>
  <si>
    <t>Çertifikatat e lindjës</t>
  </si>
  <si>
    <t>Çertifikatat e kunorzimit</t>
  </si>
  <si>
    <t>Çertifikatat e vdekjës</t>
  </si>
  <si>
    <t>Çertifikatat tjera</t>
  </si>
  <si>
    <t>Të hyrat tjera</t>
  </si>
  <si>
    <t>Taksat administrative</t>
  </si>
  <si>
    <t>7)</t>
  </si>
  <si>
    <t>Drejtoria për Buxhet e Financa</t>
  </si>
  <si>
    <t>Marimanga</t>
  </si>
  <si>
    <t>Taksa për rexhistrimin e automjeteve</t>
  </si>
  <si>
    <t xml:space="preserve">Qiraja për lokalet afariste </t>
  </si>
  <si>
    <t>Qiraja për banesa</t>
  </si>
  <si>
    <t>Shitja e pasurisë</t>
  </si>
  <si>
    <t>Shfrytëzimi i pronës publike</t>
  </si>
  <si>
    <t xml:space="preserve">Tatimi mbi pronë </t>
  </si>
  <si>
    <t>Tatimi në tokë</t>
  </si>
  <si>
    <t>I</t>
  </si>
  <si>
    <t xml:space="preserve"> Totali i administratës komunale</t>
  </si>
  <si>
    <t>Të ardhurat nga arsimi</t>
  </si>
  <si>
    <t>Qerdhet</t>
  </si>
  <si>
    <t>Arsimi fillor</t>
  </si>
  <si>
    <t>Arsimi i mesëm</t>
  </si>
  <si>
    <t>II</t>
  </si>
  <si>
    <t xml:space="preserve">  Totali - arsimi</t>
  </si>
  <si>
    <t>Të ardhurat nga shendetësia</t>
  </si>
  <si>
    <t xml:space="preserve">Shendetësia primare </t>
  </si>
  <si>
    <t>III</t>
  </si>
  <si>
    <t xml:space="preserve"> Totali - shendetësia</t>
  </si>
  <si>
    <t>TOTALI I TË ARDHURAVE VETANAKE TË KOMUNËS ( I + II + III )</t>
  </si>
  <si>
    <t>Ndërtimi i rrugëve e infrastruktures nëntokësore Videje-Polce-Paskalicë-Jagodë-Krushevë e Madhe</t>
  </si>
  <si>
    <t>Projektet me prioritet për vitin  2027</t>
  </si>
  <si>
    <t>Ndërtimi i rrugëve dhe infrastruktures nëntokësore Videje-Polce-Paskalicë-Jagodë-Krushevë e Madhe</t>
  </si>
  <si>
    <t>Ndërtimi i shtigjeve te ecjes dhe infrastrukture rrugore në Gryken e Jarines-Pogragje</t>
  </si>
  <si>
    <t>Gjeodezia</t>
  </si>
  <si>
    <t>Rindërtimi i infrastrukturës mbitokësore me asfalt në Jashanicë, Shtupel, Zllakuqan, Klinë-Videjë etj</t>
  </si>
  <si>
    <t>Vlerësimi 2027</t>
  </si>
  <si>
    <t xml:space="preserve"> Planifikimi - për vitin 2026</t>
  </si>
  <si>
    <t xml:space="preserve"> Planifikimi - për vitin 2027</t>
  </si>
  <si>
    <t>Taksa për ushtrim të veprimtarisë</t>
  </si>
  <si>
    <t>Qendra për Punë Sociale</t>
  </si>
  <si>
    <t>Shërbimet rrezidenciale</t>
  </si>
  <si>
    <t>Emri i projektit</t>
  </si>
  <si>
    <t>Tabela 11: Përqindja sipas gjinisë</t>
  </si>
  <si>
    <t>Kategoria</t>
  </si>
  <si>
    <t>%</t>
  </si>
  <si>
    <t>Meshkuj</t>
  </si>
  <si>
    <t>Femra</t>
  </si>
  <si>
    <t>Popullata e përgjithshme</t>
  </si>
  <si>
    <t>Nr.i perfituesve  në baza gjinore</t>
  </si>
  <si>
    <t xml:space="preserve">Total Paga/Mëditje </t>
  </si>
  <si>
    <t>Pagat meshkuj</t>
  </si>
  <si>
    <t>Pagat femrat</t>
  </si>
  <si>
    <t>Tabela 13.Paga dhe meditje sipas bazës gjinore</t>
  </si>
  <si>
    <t>TOTALI</t>
  </si>
  <si>
    <t>Perqindja e femrave ne raport me meshkuj</t>
  </si>
  <si>
    <t>Buxheti aktual 2025</t>
  </si>
  <si>
    <t>Planifikimi 2026</t>
  </si>
  <si>
    <t>Vlerësimi 2028</t>
  </si>
  <si>
    <t>Tabela 1: Financimi komunal për vitet 2026-2028 sipas burimit</t>
  </si>
  <si>
    <t>2026    (planifikim)</t>
  </si>
  <si>
    <t>2027   (vlerësimet)</t>
  </si>
  <si>
    <t xml:space="preserve">      2028 (vlerësimet)</t>
  </si>
  <si>
    <t>Tabela 3. Planifikimi i të hyrave vetanake të komunës sipas burimeve për periudhën  2026-2028 në euro</t>
  </si>
  <si>
    <t xml:space="preserve"> Planifikimi - për vitin 2028</t>
  </si>
  <si>
    <t>Tabela 7. Shpenzimet komunale sipas kategorive ekonomike dhe programeve - Viti aktual 2025</t>
  </si>
  <si>
    <t>Nr.i punëtorëve</t>
  </si>
  <si>
    <t>Tabela 8. Shpenzimet komunale sipas kategorive ekonomike dhe programeve - Planifikimi 2026</t>
  </si>
  <si>
    <t>Tabela 9. Shpenzimet komunale sipas kategorive ekonomike dhe programeve - Vlerësimi 2027</t>
  </si>
  <si>
    <t xml:space="preserve">Rindërtimi i rrugëve të Qytetit të Klinës me segmente te tyre: S.Rexhepi, M.Daka, M.Haxhaj, L.Palucaj, H.Prishtina, I.Qemajli, F.Bojaj, Sh.Sadiku, H.Krasniqi,  S.Rama, A.Rexha etj </t>
  </si>
  <si>
    <t>Ndërtimi i infrastruktures nëntokësore dhe mbitokësore në Klinë, rrugën Martirët e Pastaselit, Martirët e Kralanit etj</t>
  </si>
  <si>
    <t>Ndërtimi i segmenteve të rrugës Malë Bashota, Dositej Obradoviq, Bekim Fehmiu, Shaban Sadiku, Heronjtë e Kombit dhe infrastruktures nëntokësore në Klinë-Dersnik-Dollc</t>
  </si>
  <si>
    <t>Ndërtimi i infrastrukturës mbitokësore (Trotuare) dhe infrastruktures nëntokësore në Zajmë-Deiq</t>
  </si>
  <si>
    <t>Ndërtimi i infrastrukturës mbitokësore dhe infrastruktures nëntokësore Poterq- Dugajevë-Drenovc</t>
  </si>
  <si>
    <t>Ndërtimi i infrastrukturës mbitokësore dhe infrastruktures nëntokësore Zllakuqan-Pataqan-Berkove, Krushevë e Vogël (trotuari Klinë-Zllakuqan)</t>
  </si>
  <si>
    <t>Ndërtimi  i infrastrukturës mbitokësore dhe rindërtimi i rrugës Klinë-Shtupel-Kërnicë</t>
  </si>
  <si>
    <t>Ndërtimi i kanalizimit në Shtupel-Kërrnicë-Binxhe-Grapc</t>
  </si>
  <si>
    <t>Ndërtimi  i infrastrukturës mbitokësore dhe infrastruktures nëntokësore Volljakë-Sferke-Qupevë-Dush</t>
  </si>
  <si>
    <t>Ndërtimi  i infrastrukturës mbitokësore dhe nëntokësore Cerovik-Qabiq-Dobërdol</t>
  </si>
  <si>
    <t>Ndërtimi i  infrastruktures nëntokësore dhe mbitokësore në Ranoc-Leskoc</t>
  </si>
  <si>
    <t>Ndërtimi i  infrastruktures nentokesore dhe mbitokësore Siqeve-Ujmire-Shtarice</t>
  </si>
  <si>
    <t>Ndërtimi i infrastrukturës mbitokësore dhe urës në Budisalcë-Rudice</t>
  </si>
  <si>
    <t>Ndërtimi i  infrastruktures nentokesore dhe mbitokësore Gllareve-Rixheve-Stapanice-Zabergje</t>
  </si>
  <si>
    <t>Ndërtimi i  infrastruktures nentokesore dhe mbitokësore Gjurgjevik i Vogel-Klinavc</t>
  </si>
  <si>
    <t>Ndërtimi i  infrastruktures nentokesore dhe mbitokësore ne Grabanice-Bokshiq-Dollove</t>
  </si>
  <si>
    <t>Ndërtimi  i infrastrukturës mbitokësore dhe infrastruktures nëntokësore Gjurgjevik i Madhë - Dush</t>
  </si>
  <si>
    <t>Ndërtimi i shtratit të lumit Klina, (Klinë-Burimi i Jarinës - Pogragjë-Ujmirë), Rregullimi i shtratit të lumit Lumëbardhi i Pejës dhe lumit Drini i Bradhë</t>
  </si>
  <si>
    <t>Ndërtimi i shtigjeve te ecjes dhe infrastrukture rrugore në Gryken e Jarines-Pogragjë</t>
  </si>
  <si>
    <t>Ndërtimi i infrastrukturës mbitokësore dhe nëntokësore në Jashanicë-Jelloc-Resnik</t>
  </si>
  <si>
    <t>Ndërtimi i infrastruktures nëntokësore dhe mbitokësore në Perqevë edhe rrugën "Shpella Azem Bejta-Përqevë"</t>
  </si>
  <si>
    <t>Ndërtimi i infrastruktures mbitokësore dhe nëntokësore në Gremnik-Qupevë e Ulët</t>
  </si>
  <si>
    <t>Ndërtimi i infrastruktures nëntokësore dhe mbitokësore në Qeskovë-Kepuz-Rastoka</t>
  </si>
  <si>
    <t xml:space="preserve">Ndërtimi i rrugës "Bedri Mustafa"                         </t>
  </si>
  <si>
    <t xml:space="preserve">Ndërtimi i rrugës "Shaban Polluzha"                       </t>
  </si>
  <si>
    <t xml:space="preserve">Ndërtimi i rrugës "Vëllezrit Gërvalla"                         </t>
  </si>
  <si>
    <t>Ndërtimi i Urës mbi Lumin Drini i Bardhë në Volljakë</t>
  </si>
  <si>
    <t xml:space="preserve">Ndërtimi i Nënkalimit në Lagjen e Dukagjinit - Klinë          </t>
  </si>
  <si>
    <t>Zgjerimi i sipërfaqeve të gjelbruara (Parqeve) në Këpuz, Shtupel, Zllakuqan, Gremnik, Volljak etj</t>
  </si>
  <si>
    <t>Zgjerimi i rrjetit të ndriçimit publik në Dollc-Dresnik, Jashanicë, Drenovc, Shtupel, Klinë, Leskoc, Gremnik, Qupevë e Ulët, Siqevë, Resnik, Gj.Madh, Dush etj</t>
  </si>
  <si>
    <t>Ndërtimi i impianteve për trajtimin e ujrave të zeza në Ranoc, Radulloc, Shtupel, Shtaricë etj</t>
  </si>
  <si>
    <t>Ndërtimi i rrethojave të vorrezave në Gj.Madh, Volljak, Sferkë, Jashanicë, Siqevë, Gremnik, Zajm, K.e Vogël, Shtupel etj</t>
  </si>
  <si>
    <t>Furnizim me tabela te menqura ne shkolle në Çabiq, Ujmirë, Ismet Rraci, Motrat Qiriazi, Fehmi Agani, Luigj Gurakuqi etj</t>
  </si>
  <si>
    <t>Ndërtimi i nxemjeve qendrore me pompa termike dhe nxemje me kaldaja me pelet në shkolla në Gjimnazin Luigj Gurakuqi, Gremnik, Këpuz, Zllakuqan, Gjurgjevik i Madh, Budisalc, Ujmirë, Drenoc, Volljak, Grabanicë, Jagodë, Shtupel etj</t>
  </si>
  <si>
    <t>Ndriqimi i hapësirave të jashtme në shkollën Ismet Rraci, Motrat Qiriazi, Gjimnazin Luigj Gurakuqi, Zllakuqan, Çerdhja e fëmijëve etj</t>
  </si>
  <si>
    <t>Ndërtimi i fushave sportive dhe parkingjeve në shkolla në Grabanicë, Siqevë, Zllakuqan, Leskoc, Sferkë etj</t>
  </si>
  <si>
    <t>Furnizim me paisje mejksore per diagnostike</t>
  </si>
  <si>
    <t>Ndertimi dhe rindertimi i objekteve shendetesore: QKMF, AMF Drenoc, Ujmire, Zllakuqan dhe Gllareve etj</t>
  </si>
  <si>
    <t xml:space="preserve">Ndertimi i shtepise se pleqeve ne Kline </t>
  </si>
  <si>
    <t>Sherbimet Rezidenciale</t>
  </si>
  <si>
    <t>Ndertimi dhe rindertimi i Objektit Komunal ne Kline</t>
  </si>
  <si>
    <t>Blerja e veturave zyrtare per nevoja te Administrates Komunale</t>
  </si>
  <si>
    <t>Ndertimi dhe Rindertimi i Objekteve Sportive te Kultures ne Kline</t>
  </si>
  <si>
    <t>Furnizim me pajisje- aparat për matje gjeodezike</t>
  </si>
  <si>
    <t>Ndërtimi i kanaleve te ujitjes në Rudicë-Stupë-Videjë- Zajm,Potërq-Dollovë, Volljakë-Këpuz etj</t>
  </si>
  <si>
    <t xml:space="preserve">Rindërtimi i rrugëve te Qytetit te Klines me segmente te tyre: S.Rexhepi, M.Daka, M.Haxhaj, L.Palucaj, H.Prishtina, I.Qemajli, F.Bojaj, Sh.Sadiku, H.Krasniqi etj </t>
  </si>
  <si>
    <t>Ndërtimi i  infrastruktures nëntokësore dhe mbitokësore Siqeve-Ujmire-Shtarice</t>
  </si>
  <si>
    <t>Ndërtimi i  infrastruktures nëntokësore dhe mbitokësore dhe urës në Budisalcë-Rudice</t>
  </si>
  <si>
    <t>Ndërtimi i  infrastruktures nëntokësore dhe mbitokësore Gllareve-Rixheve-Stapanice-Zabergje</t>
  </si>
  <si>
    <t>Ndertimi i  infrastruktures nentokesore dhe mbitokësore ne Grabanice-Bokshiq-Dollove</t>
  </si>
  <si>
    <t>Ndërtimi i  infrastruktures nëntokësore dhe mbitokësore në Përqevë edhe rrugën "Shpella Azem Bejta"-Përqevë</t>
  </si>
  <si>
    <t>Ndërtimi i infrastruktures mbitokësore e nëntokësore  Gremnik-Qupevë e Ulët</t>
  </si>
  <si>
    <t>Ndërtimi i  infrastruktures nëntokësore dhe mbitokësore në Qeskove-Kepuz-Rastoke</t>
  </si>
  <si>
    <t xml:space="preserve">Ndërtimi i rrugës "Bedri Mustafa"                          </t>
  </si>
  <si>
    <t xml:space="preserve">Ndërtimi i Nënkalimit në Lagjen e Dukagjinit - Klinë     </t>
  </si>
  <si>
    <t xml:space="preserve">Ndërtimi i rrugës "Vëllezrit Gërvalla"                        </t>
  </si>
  <si>
    <t>Furnizim me inventar, tabela te menqura ne shkolle në Çabiq, Ujmirë, Ismet Rraci, Motrat Qiriazi, Fehmi Agani, Luigj Gurakuqi etj</t>
  </si>
  <si>
    <t>Ndertimi i nxemjeve qendrore me pompa termike dhe nxemje me kaldaja me pelet ne shkolla në Gjimnazin Luigj Gurakuqi, Gremnik, Këpuz, Zllakuqan, Gjurgjevik i Madh, Budisalc, Ujmirë, Drenoc, Volljak, Grabanicë, Jagodë etj</t>
  </si>
  <si>
    <t>Ndërtimi dhe rindertimi i objekteve shendetesore: QKMF, AMF Drenoc, Ujmire, Zllakuqan dhe Gllareve etj</t>
  </si>
  <si>
    <t xml:space="preserve">Ndërtimi i shtepise se pleqeve ne Kline </t>
  </si>
  <si>
    <t>Ndërtimi dhe rindertimi i Objektit Komunal ne Kline</t>
  </si>
  <si>
    <t>Ndërtimi dhe Rindertimi i Objekteve Sportive te Kultures ne Kline</t>
  </si>
  <si>
    <t>Projektet me prioritet për vitin  2028</t>
  </si>
  <si>
    <t xml:space="preserve">Rindërtimi i rrugëve te Qytetit te Klines me segmente te tyre: S.Rexhepi, M.Daka, M.Haxhaj, L.Palucaj, H.Prishtina, I.Qemajli, F.Bojaj, B.Mustafa, Sh.Sadiku, H.Krasniqi, Vëllezërit Gërvalla etj </t>
  </si>
  <si>
    <t>Ndërtimi i infrastruktures nëntokësore dhe mbitokësore në Klinë, rrugën Haxhi Zeka, etj</t>
  </si>
  <si>
    <t>Ndertimi  i infrastrukturës mbitokësore dhe rindërtimi i rrugës Klinë-Shtupel-Kërnicë</t>
  </si>
  <si>
    <t>Ndertimi i  infrastruktures nentokesore dhe mbitokësore ne Ranoc-Leskoc</t>
  </si>
  <si>
    <t>Ndertimi i  infrastruktures nentokesore dhe mbitokësore Siqeve-Ujmire-Shtarice</t>
  </si>
  <si>
    <t>Ndertimi i infrastrukturës mbitokësore dhe urës në Budisalcë-Rudice</t>
  </si>
  <si>
    <t>Ndertimi i  infrastruktures nentokesore dhe mbitokësore Gllareve-Rixheve-Stapanice-Zabergje</t>
  </si>
  <si>
    <t>Ndertimi i  infrastruktures nentokesore dhe mbitokësore Gjurgjevik i Vogel-Klinavc</t>
  </si>
  <si>
    <t>Ndertimi i shtratit të lumit Klina, (Klinë-Burimi i Jarinës - Pogragjë-Ujmirë), Rregullimi i shtratit të lumit Lumëbardhi i Pejës dhe lumit Drini I Bradhë</t>
  </si>
  <si>
    <t>Ndertimi i infrastruktures nentokesore dhe mbitoksore ne Perqev edhe rrugën "Shpella Azem Bejta"-Përqevë</t>
  </si>
  <si>
    <t>Ndertimi i infrastruktures nentokesore dhe mbitokësore ne Qeskove-Kepuz-Rastoke</t>
  </si>
  <si>
    <t xml:space="preserve">Ndërtimi i Nënkalimit në Lagjen e Dukagjinit - Klinë </t>
  </si>
  <si>
    <t>Ndertimi i nxemjeve qendrore me pompa termike dhe nxemje me kaldaja me pelet ne shkolla në Gjimnazin Luigj Gurakuqi, Gremnik, Këpuz, Zllakuqan, Gjurgjevik I Madh, Budisalc, Ujmirë, Drenoc, Volljak, Grabanicë, Jagodë etj</t>
  </si>
  <si>
    <t>Ndriqimi I hapësirave të jashtme në shkollën Ismet Rraci, Motrat Qiriazi, Gjimnazin Luigj Gurakuqi, Zllakuqan, Çerdhja e fëmijëve etj</t>
  </si>
  <si>
    <t>Ndërtimi I fushave sportive dhe parkingjeve në shkolla në Grabanicë, Siqevë, Zllakuqan, Leskoc, Sferkë etj</t>
  </si>
  <si>
    <t>Ndertimi dhe rindertimi I objekteve shendetesore: QKMF, AMF Drenoc, Ujmire, Zllakuqan dhe Gllareve etj</t>
  </si>
  <si>
    <t>Korniza afatmesme buxhetore 2026-2028</t>
  </si>
  <si>
    <t>Tab.12 Numri i përfituesëve në baza gjinore nga investimet kapitale në vitin 2026</t>
  </si>
  <si>
    <t>Viti 2026</t>
  </si>
  <si>
    <t>Viti 2027</t>
  </si>
  <si>
    <t>Viti 2028</t>
  </si>
  <si>
    <t>% te punesuara gra</t>
  </si>
  <si>
    <t>M</t>
  </si>
  <si>
    <t>F</t>
  </si>
  <si>
    <t>Taksë për legalizim</t>
  </si>
  <si>
    <t>Taksë për fletë poseduese, kopje plani</t>
  </si>
  <si>
    <t>8)</t>
  </si>
  <si>
    <t>Taksa tjera</t>
  </si>
  <si>
    <t>Çertifikatat mjeksore</t>
  </si>
  <si>
    <t>Rindërtimi i sheshit të Qytetit të Klinës</t>
  </si>
  <si>
    <t>Ndërtimi i nxemjes qendrore për Qytetin e Klinës</t>
  </si>
  <si>
    <t>Ndërtimi i  infrastruktures nëntokësore dhe mbitokësore Gjurgjevik i Vogël-Klinavc</t>
  </si>
  <si>
    <t>Ndertimi i  infrastruktures nëntokesore dhe mbitokësore në Grabanice-Bokshiq-Dollovë</t>
  </si>
  <si>
    <t>Tabela 10. Shpenzimet komunale sipas kategorive ekonomike dhe programeve - Vlerësimi 2028</t>
  </si>
  <si>
    <t>Shifrat sipas Regjistrimit të Popullsisë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</si>
</sst>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0_);\(0\)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rgb="FFFFFFFF"/>
      <name val="Times New Roman"/>
      <family val="1"/>
    </font>
    <font>
      <b/>
      <sz val="11"/>
      <color rgb="FFFFFFFF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Times New Roman"/>
      <family val="1"/>
    </font>
    <font>
      <sz val="11"/>
      <color theme="1"/>
      <name val="Times New Roman"/>
      <family val="1"/>
    </font>
    <font>
      <sz val="10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11"/>
      <color rgb="FF000000"/>
      <name val="Times New Roman"/>
      <family val="1"/>
    </font>
    <font>
      <b/>
      <sz val="11"/>
      <color theme="0"/>
      <name val="Times New Roman"/>
      <family val="1"/>
    </font>
    <font>
      <sz val="10"/>
      <color rgb="FFFFFFFF"/>
      <name val="Times New Roman"/>
      <family val="1"/>
    </font>
    <font>
      <b/>
      <sz val="10"/>
      <color rgb="FF000000"/>
      <name val="Times New Roman"/>
      <family val="1"/>
    </font>
    <font>
      <b/>
      <sz val="11"/>
      <color theme="1"/>
      <name val="Calibri"/>
      <family val="2"/>
      <scheme val="minor"/>
    </font>
    <font>
      <sz val="9"/>
      <color rgb="FF000000"/>
      <name val="Times New Roman"/>
      <family val="1"/>
    </font>
    <font>
      <b/>
      <sz val="10"/>
      <color theme="1"/>
      <name val="Times New Roman"/>
      <family val="1"/>
    </font>
    <font>
      <sz val="11"/>
      <color rgb="FF000000"/>
      <name val="Calibri"/>
      <family val="2"/>
    </font>
    <font>
      <b/>
      <sz val="10"/>
      <name val="Times New Roman"/>
      <family val="1"/>
    </font>
    <font>
      <sz val="12"/>
      <name val="Times New Roman"/>
      <family val="1"/>
    </font>
    <font>
      <sz val="10"/>
      <name val="Times New Roman"/>
      <family val="1"/>
    </font>
    <font>
      <sz val="10"/>
      <color indexed="8"/>
      <name val="Calibri"/>
      <family val="2"/>
    </font>
    <font>
      <sz val="10"/>
      <color theme="1"/>
      <name val="Calibri"/>
      <family val="2"/>
    </font>
    <font>
      <sz val="11"/>
      <name val="Calibri"/>
      <family val="2"/>
      <scheme val="minor"/>
    </font>
    <font>
      <sz val="10"/>
      <color indexed="8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13">
    <fill>
      <patternFill patternType="none"/>
    </fill>
    <fill>
      <patternFill patternType="gray125"/>
    </fill>
    <fill>
      <patternFill patternType="solid">
        <fgColor rgb="FF943634"/>
        <bgColor indexed="64"/>
      </patternFill>
    </fill>
    <fill>
      <patternFill patternType="solid">
        <fgColor rgb="FFC4BC96"/>
        <bgColor indexed="64"/>
      </patternFill>
    </fill>
    <fill>
      <patternFill patternType="solid">
        <fgColor rgb="FFEEECE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49452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7BA0CD"/>
      </left>
      <right/>
      <top style="medium">
        <color rgb="FF7BA0CD"/>
      </top>
      <bottom style="medium">
        <color rgb="FF7BA0CD"/>
      </bottom>
      <diagonal/>
    </border>
    <border>
      <left style="medium">
        <color rgb="FF7BA0CD"/>
      </left>
      <right/>
      <top style="medium">
        <color rgb="FF7BA0CD"/>
      </top>
      <bottom/>
      <diagonal/>
    </border>
    <border>
      <left style="medium">
        <color rgb="FF7BA0CD"/>
      </left>
      <right/>
      <top/>
      <bottom style="medium">
        <color rgb="FF7BA0CD"/>
      </bottom>
      <diagonal/>
    </border>
    <border>
      <left/>
      <right/>
      <top style="medium">
        <color rgb="FF7BA0CD"/>
      </top>
      <bottom style="medium">
        <color rgb="FF7BA0CD"/>
      </bottom>
      <diagonal/>
    </border>
    <border>
      <left/>
      <right/>
      <top style="medium">
        <color rgb="FF7BA0CD"/>
      </top>
      <bottom/>
      <diagonal/>
    </border>
    <border>
      <left/>
      <right/>
      <top/>
      <bottom style="medium">
        <color rgb="FF7BA0CD"/>
      </bottom>
      <diagonal/>
    </border>
    <border>
      <left/>
      <right style="medium">
        <color rgb="FF7BA0CD"/>
      </right>
      <top style="medium">
        <color rgb="FF7BA0CD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98">
    <xf numFmtId="0" fontId="0" fillId="0" borderId="0" xfId="0"/>
    <xf numFmtId="43" fontId="3" fillId="0" borderId="1" xfId="1" applyFont="1" applyBorder="1" applyAlignment="1">
      <alignment vertical="top" wrapText="1"/>
    </xf>
    <xf numFmtId="43" fontId="2" fillId="0" borderId="1" xfId="1" applyFont="1" applyBorder="1" applyAlignment="1">
      <alignment vertical="top" wrapText="1"/>
    </xf>
    <xf numFmtId="43" fontId="0" fillId="0" borderId="0" xfId="0" applyNumberFormat="1"/>
    <xf numFmtId="0" fontId="4" fillId="2" borderId="3" xfId="0" applyFont="1" applyFill="1" applyBorder="1" applyAlignment="1">
      <alignment vertical="top" wrapText="1"/>
    </xf>
    <xf numFmtId="0" fontId="2" fillId="3" borderId="4" xfId="0" applyFont="1" applyFill="1" applyBorder="1" applyAlignment="1">
      <alignment vertical="top" wrapText="1"/>
    </xf>
    <xf numFmtId="0" fontId="3" fillId="3" borderId="7" xfId="0" applyFont="1" applyFill="1" applyBorder="1" applyAlignment="1">
      <alignment vertical="top" wrapText="1"/>
    </xf>
    <xf numFmtId="0" fontId="2" fillId="3" borderId="7" xfId="0" applyFont="1" applyFill="1" applyBorder="1" applyAlignment="1">
      <alignment vertical="top" wrapText="1"/>
    </xf>
    <xf numFmtId="4" fontId="5" fillId="2" borderId="7" xfId="0" applyNumberFormat="1" applyFont="1" applyFill="1" applyBorder="1" applyAlignment="1">
      <alignment horizontal="right" wrapText="1"/>
    </xf>
    <xf numFmtId="0" fontId="6" fillId="3" borderId="7" xfId="0" applyFont="1" applyFill="1" applyBorder="1" applyAlignment="1">
      <alignment vertical="top" wrapText="1"/>
    </xf>
    <xf numFmtId="0" fontId="6" fillId="4" borderId="0" xfId="0" applyFont="1" applyFill="1" applyAlignment="1">
      <alignment vertical="top" wrapText="1"/>
    </xf>
    <xf numFmtId="0" fontId="8" fillId="4" borderId="7" xfId="0" applyFont="1" applyFill="1" applyBorder="1" applyAlignment="1">
      <alignment vertical="top" wrapText="1"/>
    </xf>
    <xf numFmtId="4" fontId="6" fillId="4" borderId="7" xfId="0" applyNumberFormat="1" applyFont="1" applyFill="1" applyBorder="1" applyAlignment="1">
      <alignment horizontal="right" wrapText="1"/>
    </xf>
    <xf numFmtId="0" fontId="8" fillId="5" borderId="7" xfId="0" applyFont="1" applyFill="1" applyBorder="1" applyAlignment="1">
      <alignment horizontal="left" vertical="top" wrapText="1"/>
    </xf>
    <xf numFmtId="0" fontId="8" fillId="5" borderId="7" xfId="0" applyFont="1" applyFill="1" applyBorder="1" applyAlignment="1">
      <alignment vertical="top" wrapText="1"/>
    </xf>
    <xf numFmtId="0" fontId="2" fillId="3" borderId="3" xfId="0" applyFont="1" applyFill="1" applyBorder="1" applyAlignment="1">
      <alignment vertical="top" wrapText="1"/>
    </xf>
    <xf numFmtId="0" fontId="2" fillId="3" borderId="6" xfId="0" applyFont="1" applyFill="1" applyBorder="1" applyAlignment="1">
      <alignment vertical="top" wrapText="1"/>
    </xf>
    <xf numFmtId="4" fontId="7" fillId="3" borderId="6" xfId="0" applyNumberFormat="1" applyFont="1" applyFill="1" applyBorder="1" applyAlignment="1">
      <alignment wrapText="1"/>
    </xf>
    <xf numFmtId="0" fontId="2" fillId="4" borderId="3" xfId="0" applyFont="1" applyFill="1" applyBorder="1" applyAlignment="1">
      <alignment vertical="top" wrapText="1"/>
    </xf>
    <xf numFmtId="0" fontId="2" fillId="4" borderId="6" xfId="0" applyFont="1" applyFill="1" applyBorder="1" applyAlignment="1">
      <alignment vertical="top" wrapText="1"/>
    </xf>
    <xf numFmtId="4" fontId="7" fillId="4" borderId="6" xfId="0" applyNumberFormat="1" applyFont="1" applyFill="1" applyBorder="1" applyAlignment="1">
      <alignment wrapText="1"/>
    </xf>
    <xf numFmtId="0" fontId="8" fillId="4" borderId="2" xfId="0" applyFont="1" applyFill="1" applyBorder="1" applyAlignment="1">
      <alignment vertical="top" wrapText="1"/>
    </xf>
    <xf numFmtId="0" fontId="8" fillId="4" borderId="5" xfId="0" applyFont="1" applyFill="1" applyBorder="1" applyAlignment="1">
      <alignment vertical="top" wrapText="1"/>
    </xf>
    <xf numFmtId="0" fontId="8" fillId="5" borderId="3" xfId="0" applyFont="1" applyFill="1" applyBorder="1" applyAlignment="1">
      <alignment vertical="top" wrapText="1"/>
    </xf>
    <xf numFmtId="0" fontId="8" fillId="5" borderId="6" xfId="0" applyFont="1" applyFill="1" applyBorder="1" applyAlignment="1">
      <alignment vertical="top" wrapText="1"/>
    </xf>
    <xf numFmtId="4" fontId="7" fillId="5" borderId="6" xfId="0" applyNumberFormat="1" applyFont="1" applyFill="1" applyBorder="1" applyAlignment="1">
      <alignment wrapText="1"/>
    </xf>
    <xf numFmtId="4" fontId="9" fillId="5" borderId="6" xfId="0" applyNumberFormat="1" applyFont="1" applyFill="1" applyBorder="1" applyAlignment="1">
      <alignment wrapText="1"/>
    </xf>
    <xf numFmtId="0" fontId="3" fillId="5" borderId="3" xfId="0" applyFont="1" applyFill="1" applyBorder="1" applyAlignment="1">
      <alignment vertical="top" wrapText="1"/>
    </xf>
    <xf numFmtId="0" fontId="3" fillId="5" borderId="6" xfId="0" applyFont="1" applyFill="1" applyBorder="1" applyAlignment="1">
      <alignment vertical="top" wrapText="1"/>
    </xf>
    <xf numFmtId="0" fontId="2" fillId="5" borderId="6" xfId="0" applyFont="1" applyFill="1" applyBorder="1" applyAlignment="1">
      <alignment vertical="top" wrapText="1"/>
    </xf>
    <xf numFmtId="0" fontId="2" fillId="5" borderId="3" xfId="0" applyFont="1" applyFill="1" applyBorder="1" applyAlignment="1">
      <alignment vertical="top" wrapText="1"/>
    </xf>
    <xf numFmtId="0" fontId="6" fillId="4" borderId="3" xfId="0" applyFont="1" applyFill="1" applyBorder="1" applyAlignment="1">
      <alignment vertical="top" wrapText="1"/>
    </xf>
    <xf numFmtId="0" fontId="6" fillId="4" borderId="6" xfId="0" applyFont="1" applyFill="1" applyBorder="1" applyAlignment="1">
      <alignment vertical="top" wrapText="1"/>
    </xf>
    <xf numFmtId="4" fontId="6" fillId="4" borderId="6" xfId="0" applyNumberFormat="1" applyFont="1" applyFill="1" applyBorder="1" applyAlignment="1">
      <alignment wrapText="1"/>
    </xf>
    <xf numFmtId="4" fontId="10" fillId="4" borderId="6" xfId="0" applyNumberFormat="1" applyFont="1" applyFill="1" applyBorder="1" applyAlignment="1">
      <alignment wrapText="1"/>
    </xf>
    <xf numFmtId="4" fontId="11" fillId="4" borderId="6" xfId="0" applyNumberFormat="1" applyFont="1" applyFill="1" applyBorder="1" applyAlignment="1">
      <alignment wrapText="1"/>
    </xf>
    <xf numFmtId="0" fontId="12" fillId="2" borderId="4" xfId="0" applyFont="1" applyFill="1" applyBorder="1" applyAlignment="1">
      <alignment vertical="top" wrapText="1"/>
    </xf>
    <xf numFmtId="0" fontId="12" fillId="2" borderId="2" xfId="0" applyFont="1" applyFill="1" applyBorder="1" applyAlignment="1">
      <alignment vertical="top" wrapText="1"/>
    </xf>
    <xf numFmtId="0" fontId="12" fillId="2" borderId="7" xfId="0" applyFont="1" applyFill="1" applyBorder="1" applyAlignment="1">
      <alignment vertical="top" wrapText="1"/>
    </xf>
    <xf numFmtId="0" fontId="5" fillId="2" borderId="6" xfId="0" applyFont="1" applyFill="1" applyBorder="1" applyAlignment="1">
      <alignment horizontal="center" vertical="top" wrapText="1"/>
    </xf>
    <xf numFmtId="0" fontId="5" fillId="2" borderId="8" xfId="0" applyFont="1" applyFill="1" applyBorder="1" applyAlignment="1">
      <alignment horizontal="center" vertical="top" wrapText="1"/>
    </xf>
    <xf numFmtId="4" fontId="0" fillId="0" borderId="0" xfId="0" applyNumberFormat="1"/>
    <xf numFmtId="0" fontId="13" fillId="6" borderId="1" xfId="0" applyFont="1" applyFill="1" applyBorder="1" applyAlignment="1">
      <alignment wrapText="1"/>
    </xf>
    <xf numFmtId="0" fontId="14" fillId="0" borderId="1" xfId="0" applyFont="1" applyBorder="1" applyAlignment="1">
      <alignment wrapText="1"/>
    </xf>
    <xf numFmtId="0" fontId="14" fillId="0" borderId="1" xfId="0" applyFont="1" applyBorder="1" applyAlignment="1">
      <alignment vertical="top" wrapText="1"/>
    </xf>
    <xf numFmtId="0" fontId="13" fillId="6" borderId="1" xfId="0" applyFont="1" applyFill="1" applyBorder="1" applyAlignment="1">
      <alignment horizontal="center" wrapText="1"/>
    </xf>
    <xf numFmtId="0" fontId="14" fillId="0" borderId="0" xfId="0" applyFont="1"/>
    <xf numFmtId="43" fontId="7" fillId="0" borderId="0" xfId="1" applyFont="1" applyFill="1"/>
    <xf numFmtId="43" fontId="7" fillId="0" borderId="0" xfId="1" applyFont="1"/>
    <xf numFmtId="0" fontId="9" fillId="0" borderId="1" xfId="0" applyFont="1" applyBorder="1"/>
    <xf numFmtId="4" fontId="9" fillId="0" borderId="1" xfId="0" applyNumberFormat="1" applyFont="1" applyBorder="1"/>
    <xf numFmtId="43" fontId="7" fillId="0" borderId="13" xfId="1" applyFont="1" applyFill="1" applyBorder="1" applyAlignment="1">
      <alignment horizontal="right"/>
    </xf>
    <xf numFmtId="43" fontId="7" fillId="0" borderId="1" xfId="1" applyFont="1" applyFill="1" applyBorder="1" applyAlignment="1">
      <alignment horizontal="right"/>
    </xf>
    <xf numFmtId="0" fontId="14" fillId="8" borderId="12" xfId="0" applyFont="1" applyFill="1" applyBorder="1" applyAlignment="1">
      <alignment horizontal="right" vertical="center"/>
    </xf>
    <xf numFmtId="0" fontId="14" fillId="8" borderId="1" xfId="0" applyFont="1" applyFill="1" applyBorder="1" applyAlignment="1">
      <alignment vertical="center"/>
    </xf>
    <xf numFmtId="43" fontId="17" fillId="8" borderId="1" xfId="1" applyFont="1" applyFill="1" applyBorder="1"/>
    <xf numFmtId="43" fontId="7" fillId="0" borderId="1" xfId="1" applyFont="1" applyBorder="1"/>
    <xf numFmtId="43" fontId="7" fillId="0" borderId="13" xfId="1" applyFont="1" applyFill="1" applyBorder="1"/>
    <xf numFmtId="43" fontId="7" fillId="0" borderId="1" xfId="1" applyFont="1" applyFill="1" applyBorder="1"/>
    <xf numFmtId="0" fontId="9" fillId="0" borderId="1" xfId="0" applyFont="1" applyBorder="1" applyAlignment="1">
      <alignment wrapText="1"/>
    </xf>
    <xf numFmtId="43" fontId="17" fillId="8" borderId="13" xfId="1" applyFont="1" applyFill="1" applyBorder="1"/>
    <xf numFmtId="43" fontId="17" fillId="8" borderId="12" xfId="1" applyFont="1" applyFill="1" applyBorder="1"/>
    <xf numFmtId="43" fontId="17" fillId="0" borderId="1" xfId="1" applyFont="1" applyFill="1" applyBorder="1"/>
    <xf numFmtId="43" fontId="0" fillId="0" borderId="1" xfId="1" applyFont="1" applyBorder="1"/>
    <xf numFmtId="0" fontId="3" fillId="0" borderId="0" xfId="0" applyFont="1"/>
    <xf numFmtId="0" fontId="14" fillId="0" borderId="14" xfId="0" applyFont="1" applyBorder="1" applyAlignment="1">
      <alignment horizontal="center" wrapText="1"/>
    </xf>
    <xf numFmtId="0" fontId="14" fillId="0" borderId="15" xfId="0" applyFont="1" applyBorder="1" applyAlignment="1">
      <alignment horizontal="center" wrapText="1"/>
    </xf>
    <xf numFmtId="0" fontId="14" fillId="8" borderId="16" xfId="0" applyFont="1" applyFill="1" applyBorder="1" applyAlignment="1">
      <alignment horizontal="center" wrapText="1"/>
    </xf>
    <xf numFmtId="0" fontId="14" fillId="8" borderId="17" xfId="0" applyFont="1" applyFill="1" applyBorder="1" applyAlignment="1">
      <alignment wrapText="1"/>
    </xf>
    <xf numFmtId="4" fontId="14" fillId="8" borderId="17" xfId="0" applyNumberFormat="1" applyFont="1" applyFill="1" applyBorder="1" applyAlignment="1">
      <alignment horizontal="right" wrapText="1"/>
    </xf>
    <xf numFmtId="0" fontId="14" fillId="0" borderId="16" xfId="0" applyFont="1" applyBorder="1" applyAlignment="1">
      <alignment horizontal="center"/>
    </xf>
    <xf numFmtId="0" fontId="9" fillId="0" borderId="17" xfId="0" applyFont="1" applyBorder="1"/>
    <xf numFmtId="4" fontId="9" fillId="0" borderId="17" xfId="0" applyNumberFormat="1" applyFont="1" applyBorder="1" applyAlignment="1">
      <alignment horizontal="right"/>
    </xf>
    <xf numFmtId="0" fontId="14" fillId="8" borderId="16" xfId="0" applyFont="1" applyFill="1" applyBorder="1" applyAlignment="1">
      <alignment horizontal="center"/>
    </xf>
    <xf numFmtId="0" fontId="14" fillId="8" borderId="17" xfId="0" applyFont="1" applyFill="1" applyBorder="1"/>
    <xf numFmtId="4" fontId="14" fillId="8" borderId="17" xfId="0" applyNumberFormat="1" applyFont="1" applyFill="1" applyBorder="1" applyAlignment="1">
      <alignment horizontal="right"/>
    </xf>
    <xf numFmtId="0" fontId="9" fillId="0" borderId="17" xfId="0" applyFont="1" applyBorder="1" applyAlignment="1">
      <alignment wrapText="1"/>
    </xf>
    <xf numFmtId="0" fontId="14" fillId="9" borderId="16" xfId="0" applyFont="1" applyFill="1" applyBorder="1" applyAlignment="1">
      <alignment horizontal="center" wrapText="1"/>
    </xf>
    <xf numFmtId="0" fontId="14" fillId="9" borderId="17" xfId="0" applyFont="1" applyFill="1" applyBorder="1"/>
    <xf numFmtId="4" fontId="14" fillId="9" borderId="17" xfId="0" applyNumberFormat="1" applyFont="1" applyFill="1" applyBorder="1" applyAlignment="1">
      <alignment horizontal="right"/>
    </xf>
    <xf numFmtId="0" fontId="14" fillId="0" borderId="16" xfId="0" applyFont="1" applyBorder="1" applyAlignment="1">
      <alignment horizontal="center" wrapText="1"/>
    </xf>
    <xf numFmtId="0" fontId="14" fillId="0" borderId="17" xfId="0" applyFont="1" applyBorder="1"/>
    <xf numFmtId="0" fontId="9" fillId="0" borderId="17" xfId="0" applyFont="1" applyBorder="1" applyAlignment="1">
      <alignment horizontal="right"/>
    </xf>
    <xf numFmtId="4" fontId="14" fillId="10" borderId="17" xfId="0" applyNumberFormat="1" applyFont="1" applyFill="1" applyBorder="1" applyAlignment="1">
      <alignment horizontal="right"/>
    </xf>
    <xf numFmtId="43" fontId="17" fillId="0" borderId="13" xfId="1" applyFont="1" applyFill="1" applyBorder="1"/>
    <xf numFmtId="0" fontId="14" fillId="0" borderId="1" xfId="0" applyFont="1" applyBorder="1" applyAlignment="1">
      <alignment horizontal="left" vertical="top"/>
    </xf>
    <xf numFmtId="43" fontId="9" fillId="0" borderId="1" xfId="1" applyFont="1" applyFill="1" applyBorder="1" applyAlignment="1">
      <alignment wrapText="1"/>
    </xf>
    <xf numFmtId="43" fontId="9" fillId="0" borderId="1" xfId="1" applyFont="1" applyFill="1" applyBorder="1" applyAlignment="1">
      <alignment horizontal="right" wrapText="1"/>
    </xf>
    <xf numFmtId="43" fontId="7" fillId="0" borderId="1" xfId="1" applyFont="1" applyBorder="1" applyAlignment="1">
      <alignment horizontal="left"/>
    </xf>
    <xf numFmtId="0" fontId="6" fillId="0" borderId="0" xfId="0" applyFont="1" applyAlignment="1">
      <alignment vertical="center"/>
    </xf>
    <xf numFmtId="0" fontId="3" fillId="0" borderId="16" xfId="0" applyFont="1" applyBorder="1" applyAlignment="1">
      <alignment vertical="center" wrapText="1"/>
    </xf>
    <xf numFmtId="0" fontId="3" fillId="0" borderId="17" xfId="0" applyFont="1" applyBorder="1" applyAlignment="1">
      <alignment horizontal="center" vertical="center" wrapText="1"/>
    </xf>
    <xf numFmtId="2" fontId="3" fillId="0" borderId="17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/>
    <xf numFmtId="0" fontId="21" fillId="11" borderId="21" xfId="0" applyFont="1" applyFill="1" applyBorder="1" applyAlignment="1">
      <alignment horizontal="center" vertical="center" wrapText="1"/>
    </xf>
    <xf numFmtId="0" fontId="0" fillId="0" borderId="1" xfId="0" applyBorder="1"/>
    <xf numFmtId="43" fontId="15" fillId="0" borderId="1" xfId="1" applyFont="1" applyBorder="1"/>
    <xf numFmtId="0" fontId="21" fillId="0" borderId="1" xfId="0" applyFont="1" applyBorder="1" applyAlignment="1">
      <alignment horizontal="center" vertical="center" wrapText="1"/>
    </xf>
    <xf numFmtId="43" fontId="15" fillId="0" borderId="1" xfId="1" applyFont="1" applyFill="1" applyBorder="1"/>
    <xf numFmtId="0" fontId="21" fillId="11" borderId="21" xfId="0" applyFont="1" applyFill="1" applyBorder="1" applyAlignment="1">
      <alignment vertical="center"/>
    </xf>
    <xf numFmtId="0" fontId="16" fillId="0" borderId="1" xfId="0" applyFont="1" applyBorder="1" applyAlignment="1">
      <alignment horizontal="center" vertical="center"/>
    </xf>
    <xf numFmtId="2" fontId="0" fillId="0" borderId="1" xfId="0" applyNumberFormat="1" applyBorder="1"/>
    <xf numFmtId="0" fontId="19" fillId="0" borderId="9" xfId="0" applyFont="1" applyBorder="1" applyAlignment="1">
      <alignment wrapText="1"/>
    </xf>
    <xf numFmtId="0" fontId="24" fillId="0" borderId="0" xfId="0" applyFont="1"/>
    <xf numFmtId="0" fontId="15" fillId="0" borderId="0" xfId="0" applyFont="1"/>
    <xf numFmtId="0" fontId="16" fillId="0" borderId="20" xfId="0" applyFont="1" applyBorder="1" applyAlignment="1">
      <alignment horizontal="right" vertical="center"/>
    </xf>
    <xf numFmtId="0" fontId="16" fillId="0" borderId="21" xfId="0" applyFont="1" applyBorder="1" applyAlignment="1">
      <alignment vertical="center" wrapText="1"/>
    </xf>
    <xf numFmtId="0" fontId="16" fillId="0" borderId="21" xfId="0" applyFont="1" applyBorder="1" applyAlignment="1">
      <alignment vertical="center"/>
    </xf>
    <xf numFmtId="0" fontId="18" fillId="0" borderId="21" xfId="0" applyFont="1" applyBorder="1" applyAlignment="1">
      <alignment vertical="center"/>
    </xf>
    <xf numFmtId="0" fontId="0" fillId="0" borderId="11" xfId="0" applyBorder="1" applyAlignment="1">
      <alignment wrapText="1"/>
    </xf>
    <xf numFmtId="0" fontId="9" fillId="0" borderId="1" xfId="0" applyFont="1" applyBorder="1" applyAlignment="1">
      <alignment horizontal="right" vertical="center"/>
    </xf>
    <xf numFmtId="0" fontId="23" fillId="0" borderId="1" xfId="0" applyFont="1" applyBorder="1" applyAlignment="1">
      <alignment wrapText="1"/>
    </xf>
    <xf numFmtId="0" fontId="14" fillId="8" borderId="1" xfId="0" applyFont="1" applyFill="1" applyBorder="1" applyAlignment="1">
      <alignment horizontal="right" vertical="center"/>
    </xf>
    <xf numFmtId="0" fontId="0" fillId="0" borderId="11" xfId="0" applyBorder="1" applyAlignment="1">
      <alignment vertical="center"/>
    </xf>
    <xf numFmtId="0" fontId="19" fillId="0" borderId="11" xfId="0" applyFont="1" applyBorder="1" applyAlignment="1">
      <alignment horizontal="center" wrapText="1"/>
    </xf>
    <xf numFmtId="0" fontId="19" fillId="0" borderId="10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3" fontId="3" fillId="0" borderId="1" xfId="0" applyNumberFormat="1" applyFont="1" applyBorder="1" applyAlignment="1">
      <alignment horizontal="right"/>
    </xf>
    <xf numFmtId="43" fontId="3" fillId="0" borderId="1" xfId="1" applyFont="1" applyBorder="1" applyAlignment="1">
      <alignment horizontal="right" wrapText="1"/>
    </xf>
    <xf numFmtId="43" fontId="2" fillId="0" borderId="1" xfId="1" applyFont="1" applyBorder="1" applyAlignment="1">
      <alignment horizontal="right" wrapText="1"/>
    </xf>
    <xf numFmtId="0" fontId="17" fillId="0" borderId="0" xfId="0" applyFont="1"/>
    <xf numFmtId="0" fontId="17" fillId="0" borderId="1" xfId="0" applyFont="1" applyBorder="1"/>
    <xf numFmtId="43" fontId="17" fillId="0" borderId="1" xfId="1" applyFont="1" applyFill="1" applyBorder="1" applyAlignment="1">
      <alignment horizontal="center"/>
    </xf>
    <xf numFmtId="49" fontId="17" fillId="0" borderId="1" xfId="1" applyNumberFormat="1" applyFont="1" applyBorder="1" applyAlignment="1">
      <alignment horizontal="center"/>
    </xf>
    <xf numFmtId="0" fontId="7" fillId="0" borderId="12" xfId="0" applyFont="1" applyBorder="1" applyAlignment="1">
      <alignment wrapText="1"/>
    </xf>
    <xf numFmtId="0" fontId="14" fillId="8" borderId="12" xfId="0" applyFont="1" applyFill="1" applyBorder="1" applyAlignment="1">
      <alignment horizontal="right" vertical="center" wrapText="1"/>
    </xf>
    <xf numFmtId="0" fontId="14" fillId="8" borderId="1" xfId="0" applyFont="1" applyFill="1" applyBorder="1" applyAlignment="1">
      <alignment vertical="center" wrapText="1"/>
    </xf>
    <xf numFmtId="0" fontId="9" fillId="0" borderId="12" xfId="0" applyFont="1" applyBorder="1" applyAlignment="1">
      <alignment wrapText="1"/>
    </xf>
    <xf numFmtId="0" fontId="9" fillId="0" borderId="12" xfId="0" applyFont="1" applyBorder="1" applyAlignment="1">
      <alignment vertical="center" wrapText="1"/>
    </xf>
    <xf numFmtId="0" fontId="25" fillId="0" borderId="0" xfId="0" applyFont="1"/>
    <xf numFmtId="0" fontId="25" fillId="0" borderId="1" xfId="0" applyFont="1" applyBorder="1" applyAlignment="1">
      <alignment wrapText="1"/>
    </xf>
    <xf numFmtId="0" fontId="9" fillId="0" borderId="12" xfId="0" applyFont="1" applyBorder="1"/>
    <xf numFmtId="0" fontId="14" fillId="8" borderId="12" xfId="0" applyFont="1" applyFill="1" applyBorder="1" applyAlignment="1">
      <alignment vertical="center"/>
    </xf>
    <xf numFmtId="43" fontId="17" fillId="0" borderId="0" xfId="1" applyFont="1" applyFill="1" applyAlignment="1">
      <alignment horizontal="center"/>
    </xf>
    <xf numFmtId="49" fontId="17" fillId="0" borderId="0" xfId="1" applyNumberFormat="1" applyFont="1" applyAlignment="1">
      <alignment horizontal="center"/>
    </xf>
    <xf numFmtId="49" fontId="2" fillId="0" borderId="1" xfId="1" applyNumberFormat="1" applyFont="1" applyBorder="1" applyAlignment="1">
      <alignment horizontal="center"/>
    </xf>
    <xf numFmtId="0" fontId="2" fillId="0" borderId="1" xfId="0" applyFont="1" applyBorder="1"/>
    <xf numFmtId="43" fontId="2" fillId="0" borderId="1" xfId="1" applyFont="1" applyFill="1" applyBorder="1" applyAlignment="1">
      <alignment horizontal="center"/>
    </xf>
    <xf numFmtId="43" fontId="7" fillId="7" borderId="13" xfId="1" applyFont="1" applyFill="1" applyBorder="1"/>
    <xf numFmtId="0" fontId="22" fillId="0" borderId="0" xfId="0" applyFont="1"/>
    <xf numFmtId="0" fontId="22" fillId="0" borderId="1" xfId="0" applyFont="1" applyBorder="1" applyAlignment="1">
      <alignment wrapText="1"/>
    </xf>
    <xf numFmtId="43" fontId="2" fillId="0" borderId="23" xfId="1" applyFont="1" applyFill="1" applyBorder="1" applyAlignment="1">
      <alignment horizontal="right" wrapText="1"/>
    </xf>
    <xf numFmtId="0" fontId="14" fillId="0" borderId="1" xfId="0" applyFont="1" applyBorder="1" applyAlignment="1">
      <alignment horizontal="right" vertical="top"/>
    </xf>
    <xf numFmtId="2" fontId="14" fillId="12" borderId="1" xfId="0" applyNumberFormat="1" applyFont="1" applyFill="1" applyBorder="1" applyAlignment="1">
      <alignment wrapText="1"/>
    </xf>
    <xf numFmtId="0" fontId="3" fillId="3" borderId="5" xfId="0" applyFont="1" applyFill="1" applyBorder="1" applyAlignment="1">
      <alignment vertical="top" wrapText="1"/>
    </xf>
    <xf numFmtId="0" fontId="12" fillId="2" borderId="5" xfId="0" applyFont="1" applyFill="1" applyBorder="1" applyAlignment="1">
      <alignment vertical="top" wrapText="1"/>
    </xf>
    <xf numFmtId="0" fontId="9" fillId="8" borderId="1" xfId="0" applyFont="1" applyFill="1" applyBorder="1" applyAlignment="1">
      <alignment horizontal="right" vertical="center"/>
    </xf>
    <xf numFmtId="0" fontId="9" fillId="8" borderId="1" xfId="0" applyFont="1" applyFill="1" applyBorder="1" applyAlignment="1">
      <alignment vertical="center"/>
    </xf>
    <xf numFmtId="43" fontId="7" fillId="8" borderId="1" xfId="1" applyFont="1" applyFill="1" applyBorder="1"/>
    <xf numFmtId="0" fontId="9" fillId="0" borderId="1" xfId="0" applyFont="1" applyBorder="1" applyAlignment="1">
      <alignment vertical="center"/>
    </xf>
    <xf numFmtId="0" fontId="14" fillId="8" borderId="1" xfId="0" applyFont="1" applyFill="1" applyBorder="1"/>
    <xf numFmtId="4" fontId="14" fillId="8" borderId="1" xfId="0" applyNumberFormat="1" applyFont="1" applyFill="1" applyBorder="1"/>
    <xf numFmtId="0" fontId="15" fillId="8" borderId="1" xfId="0" applyFont="1" applyFill="1" applyBorder="1"/>
    <xf numFmtId="2" fontId="15" fillId="8" borderId="1" xfId="0" applyNumberFormat="1" applyFont="1" applyFill="1" applyBorder="1"/>
    <xf numFmtId="4" fontId="9" fillId="0" borderId="1" xfId="0" applyNumberFormat="1" applyFont="1" applyBorder="1" applyAlignment="1">
      <alignment horizontal="right"/>
    </xf>
    <xf numFmtId="0" fontId="9" fillId="0" borderId="1" xfId="0" applyFont="1" applyBorder="1" applyAlignment="1">
      <alignment vertical="center" wrapText="1"/>
    </xf>
    <xf numFmtId="43" fontId="15" fillId="8" borderId="1" xfId="1" applyFont="1" applyFill="1" applyBorder="1"/>
    <xf numFmtId="2" fontId="15" fillId="12" borderId="1" xfId="0" applyNumberFormat="1" applyFont="1" applyFill="1" applyBorder="1"/>
    <xf numFmtId="0" fontId="14" fillId="12" borderId="1" xfId="0" applyFont="1" applyFill="1" applyBorder="1" applyAlignment="1">
      <alignment horizontal="right" vertical="center"/>
    </xf>
    <xf numFmtId="0" fontId="14" fillId="12" borderId="1" xfId="0" applyFont="1" applyFill="1" applyBorder="1" applyAlignment="1">
      <alignment vertical="center"/>
    </xf>
    <xf numFmtId="43" fontId="17" fillId="12" borderId="1" xfId="1" applyFont="1" applyFill="1" applyBorder="1"/>
    <xf numFmtId="0" fontId="9" fillId="0" borderId="12" xfId="0" applyFont="1" applyBorder="1" applyAlignment="1">
      <alignment horizontal="right" vertical="center" wrapText="1"/>
    </xf>
    <xf numFmtId="0" fontId="7" fillId="0" borderId="0" xfId="0" applyFont="1"/>
    <xf numFmtId="0" fontId="17" fillId="0" borderId="1" xfId="0" applyFont="1" applyBorder="1" applyAlignment="1">
      <alignment horizontal="right"/>
    </xf>
    <xf numFmtId="0" fontId="14" fillId="0" borderId="12" xfId="0" applyFont="1" applyBorder="1" applyAlignment="1">
      <alignment horizontal="right" vertical="center" wrapText="1"/>
    </xf>
    <xf numFmtId="0" fontId="14" fillId="0" borderId="12" xfId="0" applyFont="1" applyBorder="1" applyAlignment="1">
      <alignment horizontal="right" vertical="center"/>
    </xf>
    <xf numFmtId="4" fontId="14" fillId="0" borderId="1" xfId="0" applyNumberFormat="1" applyFont="1" applyBorder="1"/>
    <xf numFmtId="4" fontId="9" fillId="5" borderId="0" xfId="0" applyNumberFormat="1" applyFont="1" applyFill="1" applyAlignment="1">
      <alignment wrapText="1"/>
    </xf>
    <xf numFmtId="0" fontId="19" fillId="0" borderId="1" xfId="0" applyFont="1" applyBorder="1" applyAlignment="1">
      <alignment wrapText="1"/>
    </xf>
    <xf numFmtId="43" fontId="21" fillId="0" borderId="1" xfId="1" applyFont="1" applyFill="1" applyBorder="1" applyAlignment="1">
      <alignment horizontal="right"/>
    </xf>
    <xf numFmtId="43" fontId="9" fillId="0" borderId="25" xfId="1" applyFont="1" applyFill="1" applyBorder="1" applyAlignment="1">
      <alignment horizontal="right" wrapText="1"/>
    </xf>
    <xf numFmtId="0" fontId="14" fillId="0" borderId="12" xfId="0" applyFont="1" applyBorder="1" applyAlignment="1">
      <alignment wrapText="1"/>
    </xf>
    <xf numFmtId="0" fontId="14" fillId="0" borderId="12" xfId="0" applyFont="1" applyBorder="1" applyAlignment="1">
      <alignment vertical="top" wrapText="1"/>
    </xf>
    <xf numFmtId="43" fontId="0" fillId="0" borderId="1" xfId="1" applyFont="1" applyFill="1" applyBorder="1"/>
    <xf numFmtId="43" fontId="22" fillId="0" borderId="1" xfId="1" applyFont="1" applyFill="1" applyBorder="1"/>
    <xf numFmtId="164" fontId="3" fillId="0" borderId="17" xfId="1" applyNumberFormat="1" applyFont="1" applyBorder="1" applyAlignment="1">
      <alignment horizontal="center" vertical="center" wrapText="1"/>
    </xf>
    <xf numFmtId="0" fontId="14" fillId="10" borderId="18" xfId="0" applyFont="1" applyFill="1" applyBorder="1" applyAlignment="1">
      <alignment horizontal="center" wrapText="1"/>
    </xf>
    <xf numFmtId="0" fontId="14" fillId="10" borderId="15" xfId="0" applyFont="1" applyFill="1" applyBorder="1" applyAlignment="1">
      <alignment horizontal="center" wrapText="1"/>
    </xf>
    <xf numFmtId="0" fontId="3" fillId="3" borderId="5" xfId="0" applyFont="1" applyFill="1" applyBorder="1" applyAlignment="1">
      <alignment vertical="top" wrapText="1"/>
    </xf>
    <xf numFmtId="0" fontId="12" fillId="2" borderId="5" xfId="0" applyFont="1" applyFill="1" applyBorder="1" applyAlignment="1">
      <alignment vertical="top" wrapText="1"/>
    </xf>
    <xf numFmtId="0" fontId="5" fillId="2" borderId="6" xfId="0" applyFont="1" applyFill="1" applyBorder="1" applyAlignment="1">
      <alignment vertical="top" wrapText="1"/>
    </xf>
    <xf numFmtId="0" fontId="19" fillId="0" borderId="11" xfId="0" applyFont="1" applyBorder="1" applyAlignment="1">
      <alignment horizontal="center" wrapText="1"/>
    </xf>
    <xf numFmtId="0" fontId="19" fillId="0" borderId="10" xfId="0" applyFont="1" applyBorder="1" applyAlignment="1">
      <alignment horizontal="center" wrapText="1"/>
    </xf>
    <xf numFmtId="0" fontId="13" fillId="6" borderId="1" xfId="0" applyFont="1" applyFill="1" applyBorder="1" applyAlignment="1">
      <alignment horizontal="center" wrapText="1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18" fillId="0" borderId="1" xfId="0" applyFont="1" applyBorder="1" applyAlignment="1">
      <alignment horizontal="center" vertical="center" wrapText="1"/>
    </xf>
    <xf numFmtId="0" fontId="19" fillId="11" borderId="22" xfId="0" applyFont="1" applyFill="1" applyBorder="1" applyAlignment="1">
      <alignment horizontal="center" vertical="center" wrapText="1"/>
    </xf>
    <xf numFmtId="0" fontId="19" fillId="11" borderId="24" xfId="0" applyFont="1" applyFill="1" applyBorder="1" applyAlignment="1">
      <alignment horizontal="center" vertical="center" wrapText="1"/>
    </xf>
    <xf numFmtId="0" fontId="20" fillId="11" borderId="19" xfId="0" applyFont="1" applyFill="1" applyBorder="1" applyAlignment="1">
      <alignment horizontal="center" vertical="center"/>
    </xf>
    <xf numFmtId="0" fontId="20" fillId="11" borderId="13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9" fillId="12" borderId="1" xfId="0" applyFont="1" applyFill="1" applyBorder="1" applyAlignment="1">
      <alignment horizontal="center" vertical="center" wrapText="1"/>
    </xf>
    <xf numFmtId="0" fontId="19" fillId="11" borderId="1" xfId="0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u="none" strike="noStrike" kern="1200" baseline="0">
                <a:solidFill>
                  <a:sysClr val="windowText" lastClr="000000"/>
                </a:solidFill>
              </a:rPr>
              <a:t>Shpenzimet komunale sipas kategorive ekonomike për vitin 2026</a:t>
            </a: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9AD-4321-9EF9-19FC684B612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9AD-4321-9EF9-19FC684B612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9AD-4321-9EF9-19FC684B612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9AD-4321-9EF9-19FC684B612E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59AD-4321-9EF9-19FC684B612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'Tabela 6.'!$C$16:$C$20</c:f>
              <c:strCache>
                <c:ptCount val="5"/>
                <c:pt idx="0">
                  <c:v>Pagat dhe meditjet</c:v>
                </c:pt>
                <c:pt idx="1">
                  <c:v> Mallrat dhe  shërbim</c:v>
                </c:pt>
                <c:pt idx="2">
                  <c:v>Shërbime komunale</c:v>
                </c:pt>
                <c:pt idx="3">
                  <c:v>Subvencionet</c:v>
                </c:pt>
                <c:pt idx="4">
                  <c:v> Shpenzimet Kapitale </c:v>
                </c:pt>
              </c:strCache>
            </c:strRef>
          </c:cat>
          <c:val>
            <c:numRef>
              <c:f>'Tabela 6.'!$D$16:$D$20</c:f>
              <c:numCache>
                <c:formatCode>#,##0.00</c:formatCode>
                <c:ptCount val="5"/>
                <c:pt idx="0">
                  <c:v>9468898</c:v>
                </c:pt>
                <c:pt idx="1">
                  <c:v>1600000</c:v>
                </c:pt>
                <c:pt idx="2">
                  <c:v>370000</c:v>
                </c:pt>
                <c:pt idx="3">
                  <c:v>800000</c:v>
                </c:pt>
                <c:pt idx="4">
                  <c:v>4100000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BC-4E9B-818D-260C6004AB90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Paga dhe meditje sipas bazës gjinore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6"/>
            </a:solidFill>
            <a:ln>
              <a:noFill/>
            </a:ln>
            <a:effectLst>
              <a:outerShdw blurRad="2540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'Tabela 13.'!$A$25:$A$26</c:f>
              <c:strCache>
                <c:ptCount val="2"/>
                <c:pt idx="0">
                  <c:v>Pagat meshkuj</c:v>
                </c:pt>
                <c:pt idx="1">
                  <c:v>Pagat femrat</c:v>
                </c:pt>
              </c:strCache>
            </c:strRef>
          </c:cat>
          <c:val>
            <c:numRef>
              <c:f>'Tabela 13.'!$F$25:$F$26</c:f>
              <c:numCache>
                <c:formatCode>_(* #,##0.00_);_(* \(#,##0.00\);_(* "-"??_);_(@_)</c:formatCode>
                <c:ptCount val="2"/>
                <c:pt idx="0">
                  <c:v>5014382.3182000006</c:v>
                </c:pt>
                <c:pt idx="1">
                  <c:v>4454515.6655999999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D3-41BE-B110-6A253B070A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9"/>
        <c:axId val="1111689616"/>
        <c:axId val="1111707648"/>
      </c:barChart>
      <c:valAx>
        <c:axId val="1111707648"/>
        <c:scaling>
          <c:orientation val="minMax"/>
        </c:scaling>
        <c:delete val="1"/>
        <c:axPos val="b"/>
        <c:numFmt formatCode="_(* #,##0.00_);_(* \(#,##0.00\);_(* &quot;-&quot;??_);_(@_)" sourceLinked="1"/>
        <c:majorTickMark val="none"/>
        <c:minorTickMark val="none"/>
        <c:tickLblPos val="nextTo"/>
        <c:crossAx val="1111689616"/>
        <c:crosses val="autoZero"/>
        <c:crossBetween val="between"/>
      </c:valAx>
      <c:catAx>
        <c:axId val="111168961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1170764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_xlchart.v1.0</cx:f>
      </cx:strDim>
      <cx:numDim type="val">
        <cx:f>_xlchart.v1.1</cx:f>
      </cx:numDim>
    </cx:data>
  </cx:chartData>
  <cx:chart>
    <cx:title pos="t" align="ctr" overlay="0">
      <cx:tx>
        <cx:rich>
          <a:bodyPr rot="0" spcFirstLastPara="1" vertOverflow="ellipsis" vert="horz" wrap="square" lIns="38100" tIns="19050" rIns="38100" bIns="19050" anchor="ctr" anchorCtr="1" compatLnSpc="0"/>
          <a:lstStyle/>
          <a:p>
            <a:pPr algn="ctr" rtl="0"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kumimoji="0" lang="en-US" sz="1400" b="0" i="0" u="none" strike="noStrike" kern="1200" cap="none" spc="0" normalizeH="0" baseline="0" noProof="0">
                <a:ln>
                  <a:noFill/>
                </a:ln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uLnTx/>
                <a:uFillTx/>
                <a:latin typeface="Calibri" panose="020F0502020204030204"/>
              </a:rPr>
              <a:t>Planifikimi i të hyrave vetanake</a:t>
            </a:r>
            <a:endParaRPr lang="en-US"/>
          </a:p>
        </cx:rich>
      </cx:tx>
    </cx:title>
    <cx:plotArea>
      <cx:plotAreaRegion>
        <cx:series layoutId="waterfall" uniqueId="{FB1DC782-5454-43BC-9EAF-6D1318DDC6D3}">
          <cx:dataLabels pos="outEnd">
            <cx:visibility seriesName="0" categoryName="0" value="1"/>
          </cx:dataLabels>
          <cx:dataId val="0"/>
          <cx:layoutPr>
            <cx:subtotals/>
          </cx:layoutPr>
        </cx:series>
      </cx:plotAreaRegion>
      <cx:axis id="0">
        <cx:valScaling/>
        <cx:majorGridlines/>
        <cx:tickLabels/>
      </cx:axis>
      <cx:axis id="1">
        <cx:catScaling gapWidth="0.5"/>
        <cx:tickLabels/>
      </cx:axis>
    </cx:plotArea>
  </cx:chart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9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microsoft.com/office/2014/relationships/chartEx" Target="../charts/chartEx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42</xdr:row>
      <xdr:rowOff>106680</xdr:rowOff>
    </xdr:from>
    <xdr:to>
      <xdr:col>3</xdr:col>
      <xdr:colOff>746760</xdr:colOff>
      <xdr:row>57</xdr:row>
      <xdr:rowOff>106680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2" name="Chart 1">
              <a:extLst>
                <a:ext uri="{FF2B5EF4-FFF2-40B4-BE49-F238E27FC236}">
                  <a16:creationId xmlns:a16="http://schemas.microsoft.com/office/drawing/2014/main" id="{03FC0990-635F-091D-11CE-05512EB5F6C9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US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14</xdr:row>
      <xdr:rowOff>38100</xdr:rowOff>
    </xdr:from>
    <xdr:to>
      <xdr:col>5</xdr:col>
      <xdr:colOff>670560</xdr:colOff>
      <xdr:row>29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238AC0D-6F20-F78C-93DF-49D3556ED41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22</xdr:row>
      <xdr:rowOff>137160</xdr:rowOff>
    </xdr:from>
    <xdr:to>
      <xdr:col>6</xdr:col>
      <xdr:colOff>899160</xdr:colOff>
      <xdr:row>37</xdr:row>
      <xdr:rowOff>137160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47B0AF6-80F5-46E7-8A98-5F0617DCB92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tabSelected="1" zoomScaleNormal="100" workbookViewId="0"/>
  </sheetViews>
  <sheetFormatPr defaultRowHeight="15" x14ac:dyDescent="0.25"/>
  <cols>
    <col min="1" max="1" width="22.5703125" customWidth="1"/>
    <col min="2" max="2" width="16.5703125" customWidth="1"/>
    <col min="3" max="3" width="16" customWidth="1"/>
    <col min="4" max="4" width="16.5703125" customWidth="1"/>
    <col min="5" max="5" width="16.85546875" customWidth="1"/>
    <col min="6" max="6" width="10.42578125" customWidth="1"/>
    <col min="7" max="7" width="9.42578125" customWidth="1"/>
  </cols>
  <sheetData>
    <row r="1" spans="1:7" ht="33" customHeight="1" x14ac:dyDescent="0.25">
      <c r="A1" s="64" t="s">
        <v>125</v>
      </c>
      <c r="B1" s="64"/>
      <c r="C1" s="64"/>
      <c r="D1" s="64"/>
      <c r="E1" s="64"/>
    </row>
    <row r="2" spans="1:7" ht="31.5" x14ac:dyDescent="0.25">
      <c r="A2" s="119" t="s">
        <v>214</v>
      </c>
      <c r="B2" s="120" t="s">
        <v>122</v>
      </c>
      <c r="C2" s="120" t="s">
        <v>123</v>
      </c>
      <c r="D2" s="120" t="s">
        <v>102</v>
      </c>
      <c r="E2" s="120" t="s">
        <v>124</v>
      </c>
    </row>
    <row r="3" spans="1:7" ht="27" customHeight="1" x14ac:dyDescent="0.25">
      <c r="A3" s="1" t="s">
        <v>0</v>
      </c>
      <c r="B3" s="122">
        <v>6571819</v>
      </c>
      <c r="C3" s="122">
        <v>6571819</v>
      </c>
      <c r="D3" s="121">
        <v>6960367</v>
      </c>
      <c r="E3" s="121">
        <v>7513860</v>
      </c>
    </row>
    <row r="4" spans="1:7" ht="15.75" x14ac:dyDescent="0.25">
      <c r="A4" s="1" t="s">
        <v>1</v>
      </c>
      <c r="B4" s="122">
        <v>5953349</v>
      </c>
      <c r="C4" s="122">
        <v>6180993</v>
      </c>
      <c r="D4" s="121">
        <v>6366422</v>
      </c>
      <c r="E4" s="121">
        <v>6557415</v>
      </c>
      <c r="F4" s="3"/>
    </row>
    <row r="5" spans="1:7" ht="33" customHeight="1" x14ac:dyDescent="0.25">
      <c r="A5" s="1" t="s">
        <v>2</v>
      </c>
      <c r="B5" s="122">
        <v>1897981</v>
      </c>
      <c r="C5" s="122">
        <v>1884302</v>
      </c>
      <c r="D5" s="121">
        <v>1940831</v>
      </c>
      <c r="E5" s="121">
        <v>1999056</v>
      </c>
      <c r="F5" s="3"/>
      <c r="G5" s="3"/>
    </row>
    <row r="6" spans="1:7" ht="27" customHeight="1" x14ac:dyDescent="0.25">
      <c r="A6" s="1" t="s">
        <v>3</v>
      </c>
      <c r="B6" s="122">
        <v>1495504</v>
      </c>
      <c r="C6" s="122">
        <v>1551784</v>
      </c>
      <c r="D6" s="121">
        <v>1662711</v>
      </c>
      <c r="E6" s="121">
        <v>1669206</v>
      </c>
      <c r="F6" s="3"/>
      <c r="G6" s="3"/>
    </row>
    <row r="7" spans="1:7" ht="31.5" x14ac:dyDescent="0.25">
      <c r="A7" s="1" t="s">
        <v>4</v>
      </c>
      <c r="B7" s="122">
        <v>250000</v>
      </c>
      <c r="C7" s="122">
        <v>150000</v>
      </c>
      <c r="D7" s="121">
        <v>200000</v>
      </c>
      <c r="E7" s="121">
        <v>200000</v>
      </c>
      <c r="F7" s="3"/>
      <c r="G7" s="3"/>
    </row>
    <row r="8" spans="1:7" ht="30.6" customHeight="1" x14ac:dyDescent="0.25">
      <c r="A8" s="2" t="s">
        <v>5</v>
      </c>
      <c r="B8" s="123">
        <f>SUM(B3:B7)</f>
        <v>16168653</v>
      </c>
      <c r="C8" s="123">
        <f>SUM(C3:C7)</f>
        <v>16338898</v>
      </c>
      <c r="D8" s="123">
        <f>SUM(D3:D7)</f>
        <v>17130331</v>
      </c>
      <c r="E8" s="123">
        <f>SUM(E3:E7)</f>
        <v>17939537</v>
      </c>
      <c r="F8" s="145"/>
    </row>
    <row r="9" spans="1:7" x14ac:dyDescent="0.25">
      <c r="C9" s="3"/>
      <c r="F9" s="3"/>
    </row>
    <row r="10" spans="1:7" x14ac:dyDescent="0.25">
      <c r="C10" s="3"/>
      <c r="D10" s="3"/>
      <c r="E10" s="3"/>
    </row>
    <row r="11" spans="1:7" x14ac:dyDescent="0.25">
      <c r="C11" s="3"/>
      <c r="D11" s="3"/>
      <c r="E11" s="3"/>
    </row>
    <row r="16" spans="1:7" x14ac:dyDescent="0.25">
      <c r="C16" s="3"/>
      <c r="D16" s="3"/>
      <c r="E16" s="3"/>
    </row>
  </sheetData>
  <pageMargins left="0.7" right="0.7" top="0.75" bottom="0.75" header="0.3" footer="0.3"/>
  <pageSetup orientation="portrait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9"/>
  <sheetViews>
    <sheetView zoomScaleNormal="100" workbookViewId="0">
      <selection activeCell="B1" sqref="B1:C1"/>
    </sheetView>
  </sheetViews>
  <sheetFormatPr defaultRowHeight="15" x14ac:dyDescent="0.25"/>
  <cols>
    <col min="1" max="1" width="2.7109375" customWidth="1"/>
    <col min="2" max="2" width="56.85546875" customWidth="1"/>
    <col min="3" max="3" width="12.85546875" customWidth="1"/>
    <col min="4" max="4" width="13.7109375" customWidth="1"/>
    <col min="5" max="5" width="12.5703125" customWidth="1"/>
    <col min="6" max="6" width="16" customWidth="1"/>
  </cols>
  <sheetData>
    <row r="1" spans="1:5" ht="15.75" x14ac:dyDescent="0.25">
      <c r="A1" s="48"/>
      <c r="B1" s="188" t="s">
        <v>197</v>
      </c>
      <c r="C1" s="189"/>
      <c r="D1" s="118"/>
      <c r="E1" s="47"/>
    </row>
    <row r="2" spans="1:5" ht="15.75" x14ac:dyDescent="0.25">
      <c r="A2" s="139"/>
      <c r="B2" s="140" t="s">
        <v>108</v>
      </c>
      <c r="C2" s="141" t="s">
        <v>41</v>
      </c>
      <c r="D2" s="139">
        <v>10</v>
      </c>
      <c r="E2" s="139">
        <v>21</v>
      </c>
    </row>
    <row r="3" spans="1:5" ht="39" x14ac:dyDescent="0.25">
      <c r="A3" s="165">
        <v>1</v>
      </c>
      <c r="B3" s="59" t="s">
        <v>198</v>
      </c>
      <c r="C3" s="50">
        <f>D3+E3</f>
        <v>53000</v>
      </c>
      <c r="D3" s="142">
        <v>53000</v>
      </c>
      <c r="E3" s="142"/>
    </row>
    <row r="4" spans="1:5" ht="26.25" x14ac:dyDescent="0.25">
      <c r="A4" s="165">
        <v>2</v>
      </c>
      <c r="B4" s="59" t="s">
        <v>199</v>
      </c>
      <c r="C4" s="50">
        <f t="shared" ref="C4:C32" si="0">D4+E4</f>
        <v>50000</v>
      </c>
      <c r="D4" s="57">
        <v>30000</v>
      </c>
      <c r="E4" s="57">
        <v>20000</v>
      </c>
    </row>
    <row r="5" spans="1:5" x14ac:dyDescent="0.25">
      <c r="A5" s="165">
        <v>3</v>
      </c>
      <c r="B5" s="59" t="s">
        <v>42</v>
      </c>
      <c r="C5" s="50">
        <f t="shared" si="0"/>
        <v>720000</v>
      </c>
      <c r="D5" s="57">
        <v>400000</v>
      </c>
      <c r="E5" s="57">
        <v>320000</v>
      </c>
    </row>
    <row r="6" spans="1:5" ht="26.25" x14ac:dyDescent="0.25">
      <c r="A6" s="165">
        <v>4</v>
      </c>
      <c r="B6" s="59" t="s">
        <v>96</v>
      </c>
      <c r="C6" s="50">
        <f t="shared" si="0"/>
        <v>50000</v>
      </c>
      <c r="D6" s="57">
        <v>30000</v>
      </c>
      <c r="E6" s="57">
        <v>20000</v>
      </c>
    </row>
    <row r="7" spans="1:5" ht="39" x14ac:dyDescent="0.25">
      <c r="A7" s="165">
        <v>5</v>
      </c>
      <c r="B7" s="59" t="s">
        <v>137</v>
      </c>
      <c r="C7" s="50">
        <f t="shared" si="0"/>
        <v>650000</v>
      </c>
      <c r="D7" s="57">
        <v>450000</v>
      </c>
      <c r="E7" s="57">
        <v>200000</v>
      </c>
    </row>
    <row r="8" spans="1:5" ht="26.25" x14ac:dyDescent="0.25">
      <c r="A8" s="165">
        <v>6</v>
      </c>
      <c r="B8" s="59" t="s">
        <v>138</v>
      </c>
      <c r="C8" s="50">
        <f t="shared" si="0"/>
        <v>80000</v>
      </c>
      <c r="D8" s="57">
        <v>60000</v>
      </c>
      <c r="E8" s="57">
        <v>20000</v>
      </c>
    </row>
    <row r="9" spans="1:5" ht="26.25" x14ac:dyDescent="0.25">
      <c r="A9" s="165">
        <v>7</v>
      </c>
      <c r="B9" s="59" t="s">
        <v>43</v>
      </c>
      <c r="C9" s="50">
        <f t="shared" si="0"/>
        <v>60000</v>
      </c>
      <c r="D9" s="57">
        <v>40000</v>
      </c>
      <c r="E9" s="57">
        <v>20000</v>
      </c>
    </row>
    <row r="10" spans="1:5" ht="18.75" customHeight="1" x14ac:dyDescent="0.25">
      <c r="A10" s="165">
        <v>8</v>
      </c>
      <c r="B10" s="59" t="s">
        <v>140</v>
      </c>
      <c r="C10" s="50">
        <f t="shared" si="0"/>
        <v>90000</v>
      </c>
      <c r="D10" s="57">
        <v>60000</v>
      </c>
      <c r="E10" s="57">
        <v>30000</v>
      </c>
    </row>
    <row r="11" spans="1:5" ht="26.25" x14ac:dyDescent="0.25">
      <c r="A11" s="165">
        <v>9</v>
      </c>
      <c r="B11" s="59" t="s">
        <v>200</v>
      </c>
      <c r="C11" s="50">
        <f t="shared" si="0"/>
        <v>80000</v>
      </c>
      <c r="D11" s="57">
        <v>60000</v>
      </c>
      <c r="E11" s="57">
        <v>20000</v>
      </c>
    </row>
    <row r="12" spans="1:5" ht="18" customHeight="1" x14ac:dyDescent="0.25">
      <c r="A12" s="165">
        <v>10</v>
      </c>
      <c r="B12" s="59" t="s">
        <v>142</v>
      </c>
      <c r="C12" s="50">
        <f t="shared" si="0"/>
        <v>10000</v>
      </c>
      <c r="D12" s="57">
        <v>0</v>
      </c>
      <c r="E12" s="57">
        <v>10000</v>
      </c>
    </row>
    <row r="13" spans="1:5" ht="26.25" x14ac:dyDescent="0.25">
      <c r="A13" s="165">
        <v>11</v>
      </c>
      <c r="B13" s="59" t="s">
        <v>143</v>
      </c>
      <c r="C13" s="50">
        <f t="shared" si="0"/>
        <v>90000</v>
      </c>
      <c r="D13" s="57">
        <v>60000</v>
      </c>
      <c r="E13" s="57">
        <v>30000</v>
      </c>
    </row>
    <row r="14" spans="1:5" ht="26.25" x14ac:dyDescent="0.25">
      <c r="A14" s="165">
        <v>12</v>
      </c>
      <c r="B14" s="59" t="s">
        <v>144</v>
      </c>
      <c r="C14" s="50">
        <f t="shared" si="0"/>
        <v>80000</v>
      </c>
      <c r="D14" s="57">
        <v>60000</v>
      </c>
      <c r="E14" s="57">
        <v>20000</v>
      </c>
    </row>
    <row r="15" spans="1:5" ht="26.25" x14ac:dyDescent="0.25">
      <c r="A15" s="165">
        <v>13</v>
      </c>
      <c r="B15" s="59" t="s">
        <v>201</v>
      </c>
      <c r="C15" s="50">
        <f t="shared" si="0"/>
        <v>70000</v>
      </c>
      <c r="D15" s="57">
        <v>70000</v>
      </c>
      <c r="E15" s="57">
        <v>0</v>
      </c>
    </row>
    <row r="16" spans="1:5" ht="26.25" x14ac:dyDescent="0.25">
      <c r="A16" s="165">
        <v>14</v>
      </c>
      <c r="B16" s="128" t="s">
        <v>202</v>
      </c>
      <c r="C16" s="50">
        <f t="shared" si="0"/>
        <v>60000</v>
      </c>
      <c r="D16" s="57">
        <v>50000</v>
      </c>
      <c r="E16" s="57">
        <v>10000</v>
      </c>
    </row>
    <row r="17" spans="1:5" x14ac:dyDescent="0.25">
      <c r="A17" s="165">
        <v>15</v>
      </c>
      <c r="B17" s="59" t="s">
        <v>203</v>
      </c>
      <c r="C17" s="50">
        <f t="shared" si="0"/>
        <v>40000</v>
      </c>
      <c r="D17" s="57">
        <v>40000</v>
      </c>
      <c r="E17" s="57">
        <v>0</v>
      </c>
    </row>
    <row r="18" spans="1:5" ht="26.25" x14ac:dyDescent="0.25">
      <c r="A18" s="165">
        <v>16</v>
      </c>
      <c r="B18" s="128" t="s">
        <v>204</v>
      </c>
      <c r="C18" s="50">
        <f t="shared" si="0"/>
        <v>90000</v>
      </c>
      <c r="D18" s="57">
        <v>70000</v>
      </c>
      <c r="E18" s="57">
        <v>20000</v>
      </c>
    </row>
    <row r="19" spans="1:5" ht="26.25" x14ac:dyDescent="0.25">
      <c r="A19" s="165">
        <v>17</v>
      </c>
      <c r="B19" s="128" t="s">
        <v>205</v>
      </c>
      <c r="C19" s="50">
        <f t="shared" si="0"/>
        <v>30000</v>
      </c>
      <c r="D19" s="57">
        <v>30000</v>
      </c>
      <c r="E19" s="57">
        <v>0</v>
      </c>
    </row>
    <row r="20" spans="1:5" ht="26.25" x14ac:dyDescent="0.25">
      <c r="A20" s="165">
        <v>18</v>
      </c>
      <c r="B20" s="128" t="s">
        <v>184</v>
      </c>
      <c r="C20" s="50">
        <f t="shared" si="0"/>
        <v>80000</v>
      </c>
      <c r="D20" s="57">
        <v>50000</v>
      </c>
      <c r="E20" s="57">
        <v>30000</v>
      </c>
    </row>
    <row r="21" spans="1:5" ht="26.25" x14ac:dyDescent="0.25">
      <c r="A21" s="165">
        <v>19</v>
      </c>
      <c r="B21" s="59" t="s">
        <v>151</v>
      </c>
      <c r="C21" s="50">
        <f t="shared" si="0"/>
        <v>30000</v>
      </c>
      <c r="D21" s="57">
        <v>30000</v>
      </c>
      <c r="E21" s="57"/>
    </row>
    <row r="22" spans="1:5" ht="39" x14ac:dyDescent="0.25">
      <c r="A22" s="165">
        <v>20</v>
      </c>
      <c r="B22" s="59" t="s">
        <v>206</v>
      </c>
      <c r="C22" s="50">
        <f t="shared" si="0"/>
        <v>200000</v>
      </c>
      <c r="D22" s="51">
        <v>150000</v>
      </c>
      <c r="E22" s="52">
        <v>50000</v>
      </c>
    </row>
    <row r="23" spans="1:5" ht="26.25" x14ac:dyDescent="0.25">
      <c r="A23" s="165">
        <v>21</v>
      </c>
      <c r="B23" s="59" t="s">
        <v>99</v>
      </c>
      <c r="C23" s="50">
        <f t="shared" si="0"/>
        <v>35000</v>
      </c>
      <c r="D23" s="57">
        <v>20000</v>
      </c>
      <c r="E23" s="57">
        <v>15000</v>
      </c>
    </row>
    <row r="24" spans="1:5" ht="26.25" x14ac:dyDescent="0.25">
      <c r="A24" s="165">
        <v>22</v>
      </c>
      <c r="B24" s="59" t="s">
        <v>154</v>
      </c>
      <c r="C24" s="50">
        <f t="shared" si="0"/>
        <v>80000</v>
      </c>
      <c r="D24" s="57">
        <v>50000</v>
      </c>
      <c r="E24" s="57">
        <v>30000</v>
      </c>
    </row>
    <row r="25" spans="1:5" ht="26.25" x14ac:dyDescent="0.25">
      <c r="A25" s="165">
        <v>23</v>
      </c>
      <c r="B25" s="128" t="s">
        <v>207</v>
      </c>
      <c r="C25" s="50">
        <f t="shared" si="0"/>
        <v>100000</v>
      </c>
      <c r="D25" s="57">
        <v>70000</v>
      </c>
      <c r="E25" s="57">
        <v>30000</v>
      </c>
    </row>
    <row r="26" spans="1:5" ht="26.25" x14ac:dyDescent="0.25">
      <c r="A26" s="165">
        <v>24</v>
      </c>
      <c r="B26" s="59" t="s">
        <v>156</v>
      </c>
      <c r="C26" s="50">
        <f t="shared" si="0"/>
        <v>50000</v>
      </c>
      <c r="D26" s="57">
        <v>30000</v>
      </c>
      <c r="E26" s="57">
        <v>20000</v>
      </c>
    </row>
    <row r="27" spans="1:5" ht="26.25" x14ac:dyDescent="0.25">
      <c r="A27" s="165">
        <v>25</v>
      </c>
      <c r="B27" s="128" t="s">
        <v>208</v>
      </c>
      <c r="C27" s="50">
        <f t="shared" si="0"/>
        <v>50000</v>
      </c>
      <c r="D27" s="57">
        <v>50000</v>
      </c>
      <c r="E27" s="57">
        <v>0</v>
      </c>
    </row>
    <row r="28" spans="1:5" x14ac:dyDescent="0.25">
      <c r="A28" s="165">
        <v>27</v>
      </c>
      <c r="B28" s="128" t="s">
        <v>161</v>
      </c>
      <c r="C28" s="50">
        <f t="shared" si="0"/>
        <v>100000</v>
      </c>
      <c r="D28" s="57">
        <v>70000</v>
      </c>
      <c r="E28" s="57">
        <v>30000</v>
      </c>
    </row>
    <row r="29" spans="1:5" x14ac:dyDescent="0.25">
      <c r="A29" s="165">
        <v>28</v>
      </c>
      <c r="B29" s="128" t="s">
        <v>188</v>
      </c>
      <c r="C29" s="50">
        <f t="shared" si="0"/>
        <v>380000</v>
      </c>
      <c r="D29" s="57">
        <v>280000</v>
      </c>
      <c r="E29" s="57">
        <v>100000</v>
      </c>
    </row>
    <row r="30" spans="1:5" x14ac:dyDescent="0.25">
      <c r="A30" s="165"/>
      <c r="B30" s="128" t="s">
        <v>209</v>
      </c>
      <c r="C30" s="50">
        <f t="shared" si="0"/>
        <v>80000</v>
      </c>
      <c r="D30" s="57">
        <v>50000</v>
      </c>
      <c r="E30" s="57">
        <v>30000</v>
      </c>
    </row>
    <row r="31" spans="1:5" x14ac:dyDescent="0.25">
      <c r="A31" s="165">
        <v>29</v>
      </c>
      <c r="B31" s="59" t="s">
        <v>159</v>
      </c>
      <c r="C31" s="50">
        <f t="shared" si="0"/>
        <v>100000</v>
      </c>
      <c r="D31" s="57">
        <v>70000</v>
      </c>
      <c r="E31" s="57">
        <v>30000</v>
      </c>
    </row>
    <row r="32" spans="1:5" x14ac:dyDescent="0.25">
      <c r="A32" s="165">
        <v>30</v>
      </c>
      <c r="B32" s="128" t="s">
        <v>228</v>
      </c>
      <c r="C32" s="50">
        <f t="shared" si="0"/>
        <v>50000</v>
      </c>
      <c r="D32" s="57">
        <v>20000</v>
      </c>
      <c r="E32" s="57">
        <v>30000</v>
      </c>
    </row>
    <row r="33" spans="1:5" x14ac:dyDescent="0.25">
      <c r="A33" s="129"/>
      <c r="B33" s="130" t="s">
        <v>44</v>
      </c>
      <c r="C33" s="55">
        <f>SUM(C3:C32)</f>
        <v>3638000</v>
      </c>
      <c r="D33" s="55">
        <f>SUM(D3:D32)</f>
        <v>2503000</v>
      </c>
      <c r="E33" s="55">
        <f>SUM(E3:E32)</f>
        <v>1135000</v>
      </c>
    </row>
    <row r="34" spans="1:5" ht="26.25" x14ac:dyDescent="0.25">
      <c r="A34" s="165">
        <v>31</v>
      </c>
      <c r="B34" s="59" t="s">
        <v>163</v>
      </c>
      <c r="C34" s="50">
        <f t="shared" ref="C34:C38" si="1">D34+E34</f>
        <v>100000</v>
      </c>
      <c r="D34" s="57">
        <v>50000</v>
      </c>
      <c r="E34" s="47">
        <v>50000</v>
      </c>
    </row>
    <row r="35" spans="1:5" ht="39" x14ac:dyDescent="0.25">
      <c r="A35" s="165">
        <v>32</v>
      </c>
      <c r="B35" s="59" t="s">
        <v>164</v>
      </c>
      <c r="C35" s="50">
        <f t="shared" si="1"/>
        <v>50000</v>
      </c>
      <c r="D35" s="57">
        <v>50000</v>
      </c>
      <c r="E35" s="57">
        <v>0</v>
      </c>
    </row>
    <row r="36" spans="1:5" ht="26.25" x14ac:dyDescent="0.25">
      <c r="A36" s="165">
        <v>33</v>
      </c>
      <c r="B36" s="59" t="s">
        <v>101</v>
      </c>
      <c r="C36" s="50">
        <f t="shared" si="1"/>
        <v>150000</v>
      </c>
      <c r="D36" s="57">
        <v>100000</v>
      </c>
      <c r="E36" s="57">
        <v>50000</v>
      </c>
    </row>
    <row r="37" spans="1:5" ht="26.25" x14ac:dyDescent="0.25">
      <c r="A37" s="165">
        <v>36</v>
      </c>
      <c r="B37" s="59" t="s">
        <v>165</v>
      </c>
      <c r="C37" s="50">
        <f t="shared" si="1"/>
        <v>200000</v>
      </c>
      <c r="D37" s="57">
        <v>150000</v>
      </c>
      <c r="E37" s="57">
        <v>50000</v>
      </c>
    </row>
    <row r="38" spans="1:5" ht="26.25" x14ac:dyDescent="0.25">
      <c r="A38" s="165">
        <v>38</v>
      </c>
      <c r="B38" s="59" t="s">
        <v>166</v>
      </c>
      <c r="C38" s="50">
        <f t="shared" si="1"/>
        <v>100000</v>
      </c>
      <c r="D38" s="57">
        <v>80000</v>
      </c>
      <c r="E38" s="57">
        <v>20000</v>
      </c>
    </row>
    <row r="39" spans="1:5" x14ac:dyDescent="0.25">
      <c r="A39" s="129"/>
      <c r="B39" s="130" t="s">
        <v>51</v>
      </c>
      <c r="C39" s="55">
        <f>SUM(C34:C38)</f>
        <v>600000</v>
      </c>
      <c r="D39" s="55">
        <f>SUM(D34:D38)</f>
        <v>430000</v>
      </c>
      <c r="E39" s="55">
        <f>SUM(E34:E38)</f>
        <v>170000</v>
      </c>
    </row>
    <row r="40" spans="1:5" ht="26.25" x14ac:dyDescent="0.25">
      <c r="A40" s="165">
        <v>39</v>
      </c>
      <c r="B40" s="131" t="s">
        <v>191</v>
      </c>
      <c r="C40" s="50">
        <f t="shared" ref="C40:C43" si="2">D40+E40</f>
        <v>30000</v>
      </c>
      <c r="D40" s="57">
        <v>30000</v>
      </c>
      <c r="E40" s="58">
        <v>0</v>
      </c>
    </row>
    <row r="41" spans="1:5" ht="51" x14ac:dyDescent="0.25">
      <c r="A41" s="165">
        <v>40</v>
      </c>
      <c r="B41" s="132" t="s">
        <v>210</v>
      </c>
      <c r="C41" s="50">
        <f t="shared" si="2"/>
        <v>70000</v>
      </c>
      <c r="D41" s="57">
        <v>50000</v>
      </c>
      <c r="E41" s="58">
        <v>20000</v>
      </c>
    </row>
    <row r="42" spans="1:5" ht="25.5" x14ac:dyDescent="0.25">
      <c r="A42" s="165">
        <v>41</v>
      </c>
      <c r="B42" s="132" t="s">
        <v>211</v>
      </c>
      <c r="C42" s="50">
        <f t="shared" si="2"/>
        <v>0</v>
      </c>
      <c r="D42" s="57">
        <v>0</v>
      </c>
      <c r="E42" s="58">
        <v>0</v>
      </c>
    </row>
    <row r="43" spans="1:5" ht="25.5" x14ac:dyDescent="0.25">
      <c r="A43" s="165">
        <v>42</v>
      </c>
      <c r="B43" s="132" t="s">
        <v>212</v>
      </c>
      <c r="C43" s="50">
        <f t="shared" si="2"/>
        <v>80000</v>
      </c>
      <c r="D43" s="57">
        <v>60000</v>
      </c>
      <c r="E43" s="58">
        <v>20000</v>
      </c>
    </row>
    <row r="44" spans="1:5" x14ac:dyDescent="0.25">
      <c r="A44" s="129"/>
      <c r="B44" s="130" t="s">
        <v>49</v>
      </c>
      <c r="C44" s="55">
        <f>SUM(C40:C43)</f>
        <v>180000</v>
      </c>
      <c r="D44" s="60">
        <f>SUM(D40:D43)</f>
        <v>140000</v>
      </c>
      <c r="E44" s="60">
        <f>SUM(E40:E43)</f>
        <v>40000</v>
      </c>
    </row>
    <row r="45" spans="1:5" x14ac:dyDescent="0.25">
      <c r="A45" s="165">
        <v>43</v>
      </c>
      <c r="B45" s="143" t="s">
        <v>171</v>
      </c>
      <c r="C45" s="50">
        <f t="shared" ref="C45:C46" si="3">D45+E45</f>
        <v>50000</v>
      </c>
      <c r="D45" s="57">
        <v>30000</v>
      </c>
      <c r="E45" s="57">
        <v>20000</v>
      </c>
    </row>
    <row r="46" spans="1:5" ht="26.25" x14ac:dyDescent="0.25">
      <c r="A46" s="165">
        <v>44</v>
      </c>
      <c r="B46" s="144" t="s">
        <v>213</v>
      </c>
      <c r="C46" s="50">
        <f t="shared" si="3"/>
        <v>35000</v>
      </c>
      <c r="D46" s="57">
        <v>20000</v>
      </c>
      <c r="E46" s="57">
        <v>15000</v>
      </c>
    </row>
    <row r="47" spans="1:5" x14ac:dyDescent="0.25">
      <c r="A47" s="129"/>
      <c r="B47" s="130" t="s">
        <v>46</v>
      </c>
      <c r="C47" s="55">
        <f>SUM(C45:C46)</f>
        <v>85000</v>
      </c>
      <c r="D47" s="60">
        <f>SUM(D45:D46)</f>
        <v>50000</v>
      </c>
      <c r="E47" s="55">
        <f>SUM(E45:E46)</f>
        <v>35000</v>
      </c>
    </row>
    <row r="48" spans="1:5" x14ac:dyDescent="0.25">
      <c r="A48" s="165">
        <v>45</v>
      </c>
      <c r="B48" s="135" t="s">
        <v>173</v>
      </c>
      <c r="C48" s="50">
        <f>D48+E48</f>
        <v>0</v>
      </c>
      <c r="D48" s="57">
        <v>0</v>
      </c>
      <c r="E48" s="57"/>
    </row>
    <row r="49" spans="1:5" x14ac:dyDescent="0.25">
      <c r="A49" s="129"/>
      <c r="B49" s="136" t="s">
        <v>174</v>
      </c>
      <c r="C49" s="55">
        <f>SUM(C48)</f>
        <v>0</v>
      </c>
      <c r="D49" s="55">
        <f t="shared" ref="D49:E49" si="4">SUM(D48)</f>
        <v>0</v>
      </c>
      <c r="E49" s="55">
        <f t="shared" si="4"/>
        <v>0</v>
      </c>
    </row>
    <row r="50" spans="1:5" x14ac:dyDescent="0.25">
      <c r="A50" s="165">
        <v>46</v>
      </c>
      <c r="B50" s="135" t="s">
        <v>175</v>
      </c>
      <c r="C50" s="50">
        <f t="shared" ref="C50:C51" si="5">D50+E50</f>
        <v>50000</v>
      </c>
      <c r="D50" s="57">
        <v>50000</v>
      </c>
      <c r="E50" s="57">
        <v>0</v>
      </c>
    </row>
    <row r="51" spans="1:5" x14ac:dyDescent="0.25">
      <c r="A51" s="165">
        <v>47</v>
      </c>
      <c r="B51" s="131" t="s">
        <v>176</v>
      </c>
      <c r="C51" s="50">
        <f t="shared" si="5"/>
        <v>35000</v>
      </c>
      <c r="D51" s="57">
        <v>20000</v>
      </c>
      <c r="E51" s="57">
        <v>15000</v>
      </c>
    </row>
    <row r="52" spans="1:5" x14ac:dyDescent="0.25">
      <c r="A52" s="129"/>
      <c r="B52" s="130" t="s">
        <v>47</v>
      </c>
      <c r="C52" s="55">
        <f>SUM(C50:C51)</f>
        <v>85000</v>
      </c>
      <c r="D52" s="60">
        <f>SUM(D50:D51)</f>
        <v>70000</v>
      </c>
      <c r="E52" s="61">
        <f>SUM(E50:E51)</f>
        <v>15000</v>
      </c>
    </row>
    <row r="53" spans="1:5" x14ac:dyDescent="0.25">
      <c r="A53" s="165">
        <v>48</v>
      </c>
      <c r="B53" s="131" t="s">
        <v>177</v>
      </c>
      <c r="C53" s="50">
        <f>D53+E53</f>
        <v>80000</v>
      </c>
      <c r="D53" s="57">
        <v>55000</v>
      </c>
      <c r="E53" s="57">
        <v>25000</v>
      </c>
    </row>
    <row r="54" spans="1:5" x14ac:dyDescent="0.25">
      <c r="A54" s="129"/>
      <c r="B54" s="130" t="s">
        <v>48</v>
      </c>
      <c r="C54" s="55">
        <f>SUM(C53:C53)</f>
        <v>80000</v>
      </c>
      <c r="D54" s="60">
        <f>SUM(D53:D53)</f>
        <v>55000</v>
      </c>
      <c r="E54" s="55">
        <f>SUM(E53:E53)</f>
        <v>25000</v>
      </c>
    </row>
    <row r="55" spans="1:5" x14ac:dyDescent="0.25">
      <c r="A55" s="168">
        <v>49</v>
      </c>
      <c r="B55" s="159" t="s">
        <v>178</v>
      </c>
      <c r="C55" s="50">
        <f>D55+E55</f>
        <v>12000</v>
      </c>
      <c r="D55" s="84"/>
      <c r="E55" s="58">
        <v>12000</v>
      </c>
    </row>
    <row r="56" spans="1:5" x14ac:dyDescent="0.25">
      <c r="A56" s="129"/>
      <c r="B56" s="130" t="s">
        <v>100</v>
      </c>
      <c r="C56" s="55">
        <f>C55</f>
        <v>12000</v>
      </c>
      <c r="D56" s="55">
        <f t="shared" ref="D56:E56" si="6">D55</f>
        <v>0</v>
      </c>
      <c r="E56" s="55">
        <f t="shared" si="6"/>
        <v>12000</v>
      </c>
    </row>
    <row r="57" spans="1:5" ht="26.25" x14ac:dyDescent="0.25">
      <c r="A57" s="165">
        <v>50</v>
      </c>
      <c r="B57" s="59" t="s">
        <v>179</v>
      </c>
      <c r="C57" s="50">
        <f>D57+E57</f>
        <v>120000</v>
      </c>
      <c r="D57" s="57">
        <v>90000</v>
      </c>
      <c r="E57" s="57">
        <v>30000</v>
      </c>
    </row>
    <row r="58" spans="1:5" x14ac:dyDescent="0.25">
      <c r="A58" s="53"/>
      <c r="B58" s="54" t="s">
        <v>45</v>
      </c>
      <c r="C58" s="55">
        <v>120000</v>
      </c>
      <c r="D58" s="60">
        <v>90000</v>
      </c>
      <c r="E58" s="55">
        <f>SUM(E57:E57)</f>
        <v>30000</v>
      </c>
    </row>
    <row r="59" spans="1:5" x14ac:dyDescent="0.25">
      <c r="A59" s="165"/>
      <c r="B59" s="167" t="s">
        <v>50</v>
      </c>
      <c r="C59" s="62">
        <f>C33+C39+C44+C47+C49+C52+C54+C56+C58</f>
        <v>4800000</v>
      </c>
      <c r="D59" s="62">
        <f t="shared" ref="D59:E59" si="7">D33+D39+D44+D47+D49+D52+D54+D56+D58</f>
        <v>3338000</v>
      </c>
      <c r="E59" s="62">
        <f t="shared" si="7"/>
        <v>1462000</v>
      </c>
    </row>
  </sheetData>
  <mergeCells count="1">
    <mergeCell ref="B1:C1"/>
  </mergeCells>
  <pageMargins left="0.11811023622047245" right="0" top="0.35433070866141736" bottom="0.15748031496062992" header="0.31496062992125984" footer="0.31496062992125984"/>
  <pageSetup paperSize="9" orientation="portrait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zoomScaleNormal="100" workbookViewId="0">
      <selection activeCell="B17" sqref="B17"/>
    </sheetView>
  </sheetViews>
  <sheetFormatPr defaultRowHeight="15" x14ac:dyDescent="0.25"/>
  <cols>
    <col min="1" max="1" width="23.28515625" customWidth="1"/>
    <col min="2" max="2" width="25.42578125" customWidth="1"/>
    <col min="3" max="3" width="23.28515625" customWidth="1"/>
  </cols>
  <sheetData>
    <row r="1" spans="1:3" x14ac:dyDescent="0.25">
      <c r="A1" s="89" t="s">
        <v>109</v>
      </c>
    </row>
    <row r="2" spans="1:3" ht="52.15" customHeight="1" x14ac:dyDescent="0.25">
      <c r="A2" s="93" t="s">
        <v>110</v>
      </c>
      <c r="B2" s="94" t="s">
        <v>232</v>
      </c>
      <c r="C2" s="94" t="s">
        <v>111</v>
      </c>
    </row>
    <row r="3" spans="1:3" ht="16.5" thickBot="1" x14ac:dyDescent="0.3">
      <c r="A3" s="90" t="s">
        <v>112</v>
      </c>
      <c r="B3" s="179">
        <v>15029</v>
      </c>
      <c r="C3" s="92">
        <f>B3*100/B5</f>
        <v>49.270563551126116</v>
      </c>
    </row>
    <row r="4" spans="1:3" ht="18" customHeight="1" thickBot="1" x14ac:dyDescent="0.3">
      <c r="A4" s="90" t="s">
        <v>113</v>
      </c>
      <c r="B4" s="179">
        <v>15474</v>
      </c>
      <c r="C4" s="92">
        <f>B4*100/B5</f>
        <v>50.729436448873884</v>
      </c>
    </row>
    <row r="5" spans="1:3" ht="36" customHeight="1" thickBot="1" x14ac:dyDescent="0.3">
      <c r="A5" s="90" t="s">
        <v>114</v>
      </c>
      <c r="B5" s="179">
        <f>SUM(B3:B4)</f>
        <v>30503</v>
      </c>
      <c r="C5" s="91">
        <f>SUM(C3:C4)</f>
        <v>100</v>
      </c>
    </row>
  </sheetData>
  <pageMargins left="0.7" right="0.7" top="0.75" bottom="0.75" header="0.3" footer="0.3"/>
  <pageSetup orientation="portrait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2"/>
  <sheetViews>
    <sheetView topLeftCell="A46" zoomScaleNormal="100" workbookViewId="0">
      <selection sqref="A1:G62"/>
    </sheetView>
  </sheetViews>
  <sheetFormatPr defaultRowHeight="15" x14ac:dyDescent="0.25"/>
  <cols>
    <col min="1" max="1" width="4.7109375" customWidth="1"/>
    <col min="2" max="2" width="47.7109375" customWidth="1"/>
    <col min="3" max="3" width="14.140625" customWidth="1"/>
    <col min="4" max="5" width="11.28515625" customWidth="1"/>
    <col min="6" max="6" width="12.42578125" customWidth="1"/>
    <col min="7" max="7" width="7.42578125" customWidth="1"/>
  </cols>
  <sheetData>
    <row r="1" spans="1:7" ht="15.75" x14ac:dyDescent="0.25">
      <c r="A1" s="95" t="s">
        <v>215</v>
      </c>
    </row>
    <row r="2" spans="1:7" ht="28.9" customHeight="1" x14ac:dyDescent="0.25">
      <c r="A2" s="97"/>
      <c r="B2" s="97" t="s">
        <v>52</v>
      </c>
      <c r="C2" s="102"/>
      <c r="D2" s="190" t="s">
        <v>115</v>
      </c>
      <c r="E2" s="190"/>
      <c r="F2" s="190"/>
      <c r="G2" s="190"/>
    </row>
    <row r="3" spans="1:7" ht="57" customHeight="1" x14ac:dyDescent="0.25">
      <c r="A3" s="107"/>
      <c r="B3" s="108" t="s">
        <v>108</v>
      </c>
      <c r="C3" s="109" t="s">
        <v>41</v>
      </c>
      <c r="D3" s="110" t="s">
        <v>112</v>
      </c>
      <c r="E3" s="110" t="s">
        <v>113</v>
      </c>
      <c r="F3" s="115" t="s">
        <v>41</v>
      </c>
      <c r="G3" s="111" t="s">
        <v>121</v>
      </c>
    </row>
    <row r="4" spans="1:7" ht="57" customHeight="1" x14ac:dyDescent="0.25">
      <c r="A4" s="112">
        <v>1</v>
      </c>
      <c r="B4" s="59" t="s">
        <v>135</v>
      </c>
      <c r="C4" s="50">
        <v>80000</v>
      </c>
      <c r="D4" s="97">
        <v>2695</v>
      </c>
      <c r="E4" s="97">
        <v>2832</v>
      </c>
      <c r="F4" s="97">
        <f>D4+E4</f>
        <v>5527</v>
      </c>
      <c r="G4" s="103">
        <f t="shared" ref="G4:G7" si="0">E4*100/F4</f>
        <v>51.239370363669259</v>
      </c>
    </row>
    <row r="5" spans="1:7" ht="41.25" customHeight="1" x14ac:dyDescent="0.25">
      <c r="A5" s="112">
        <v>2</v>
      </c>
      <c r="B5" s="59" t="s">
        <v>136</v>
      </c>
      <c r="C5" s="50">
        <v>60000</v>
      </c>
      <c r="D5" s="97">
        <v>2898</v>
      </c>
      <c r="E5" s="97">
        <v>3043</v>
      </c>
      <c r="F5" s="97">
        <f t="shared" ref="F5:F60" si="1">D5+E5</f>
        <v>5941</v>
      </c>
      <c r="G5" s="103">
        <f t="shared" si="0"/>
        <v>51.220333277226054</v>
      </c>
    </row>
    <row r="6" spans="1:7" ht="21.75" customHeight="1" x14ac:dyDescent="0.25">
      <c r="A6" s="112">
        <v>3</v>
      </c>
      <c r="B6" s="49" t="s">
        <v>42</v>
      </c>
      <c r="C6" s="50">
        <v>1150000</v>
      </c>
      <c r="D6" s="97">
        <v>15029</v>
      </c>
      <c r="E6" s="97">
        <v>15474</v>
      </c>
      <c r="F6" s="97">
        <f t="shared" si="1"/>
        <v>30503</v>
      </c>
      <c r="G6" s="103">
        <f t="shared" si="0"/>
        <v>50.729436448873884</v>
      </c>
    </row>
    <row r="7" spans="1:7" ht="39" customHeight="1" x14ac:dyDescent="0.25">
      <c r="A7" s="112">
        <v>4</v>
      </c>
      <c r="B7" s="59" t="s">
        <v>98</v>
      </c>
      <c r="C7" s="50">
        <v>40000</v>
      </c>
      <c r="D7" s="97">
        <v>521</v>
      </c>
      <c r="E7" s="97">
        <v>541</v>
      </c>
      <c r="F7" s="97">
        <f t="shared" si="1"/>
        <v>1062</v>
      </c>
      <c r="G7" s="103">
        <f t="shared" si="0"/>
        <v>50.941619585687384</v>
      </c>
    </row>
    <row r="8" spans="1:7" ht="28.9" customHeight="1" x14ac:dyDescent="0.25">
      <c r="A8" s="112">
        <v>5</v>
      </c>
      <c r="B8" s="113" t="s">
        <v>137</v>
      </c>
      <c r="C8" s="50">
        <v>350000</v>
      </c>
      <c r="D8" s="97">
        <v>4312</v>
      </c>
      <c r="E8" s="97">
        <v>4473</v>
      </c>
      <c r="F8" s="97">
        <f t="shared" si="1"/>
        <v>8785</v>
      </c>
      <c r="G8" s="103">
        <f t="shared" ref="G8:G35" si="2">E8*100/F8</f>
        <v>50.916334661354583</v>
      </c>
    </row>
    <row r="9" spans="1:7" ht="40.15" customHeight="1" x14ac:dyDescent="0.25">
      <c r="A9" s="112">
        <v>6</v>
      </c>
      <c r="B9" s="59" t="s">
        <v>138</v>
      </c>
      <c r="C9" s="50">
        <v>100000</v>
      </c>
      <c r="D9" s="97">
        <v>574</v>
      </c>
      <c r="E9" s="97">
        <v>604</v>
      </c>
      <c r="F9" s="97">
        <f t="shared" si="1"/>
        <v>1178</v>
      </c>
      <c r="G9" s="103">
        <f t="shared" si="2"/>
        <v>51.273344651952463</v>
      </c>
    </row>
    <row r="10" spans="1:7" ht="32.25" customHeight="1" x14ac:dyDescent="0.25">
      <c r="A10" s="112">
        <v>7</v>
      </c>
      <c r="B10" s="59" t="s">
        <v>139</v>
      </c>
      <c r="C10" s="50">
        <v>60000</v>
      </c>
      <c r="D10" s="97">
        <v>603</v>
      </c>
      <c r="E10" s="97">
        <v>599</v>
      </c>
      <c r="F10" s="97">
        <f t="shared" si="1"/>
        <v>1202</v>
      </c>
      <c r="G10" s="103">
        <f t="shared" si="2"/>
        <v>49.833610648918466</v>
      </c>
    </row>
    <row r="11" spans="1:7" ht="39" x14ac:dyDescent="0.25">
      <c r="A11" s="112">
        <v>8</v>
      </c>
      <c r="B11" s="59" t="s">
        <v>140</v>
      </c>
      <c r="C11" s="50">
        <v>60000</v>
      </c>
      <c r="D11" s="97">
        <v>413</v>
      </c>
      <c r="E11" s="97">
        <v>458</v>
      </c>
      <c r="F11" s="97">
        <f t="shared" si="1"/>
        <v>871</v>
      </c>
      <c r="G11" s="103">
        <f t="shared" si="2"/>
        <v>52.583237657864522</v>
      </c>
    </row>
    <row r="12" spans="1:7" ht="32.25" customHeight="1" x14ac:dyDescent="0.25">
      <c r="A12" s="112">
        <v>9</v>
      </c>
      <c r="B12" s="59" t="s">
        <v>141</v>
      </c>
      <c r="C12" s="50">
        <v>50000</v>
      </c>
      <c r="D12" s="97">
        <v>3258</v>
      </c>
      <c r="E12" s="97">
        <v>3402</v>
      </c>
      <c r="F12" s="97">
        <f t="shared" si="1"/>
        <v>6660</v>
      </c>
      <c r="G12" s="103">
        <f t="shared" si="2"/>
        <v>51.081081081081081</v>
      </c>
    </row>
    <row r="13" spans="1:7" ht="28.5" customHeight="1" x14ac:dyDescent="0.25">
      <c r="A13" s="112">
        <v>10</v>
      </c>
      <c r="B13" s="59" t="s">
        <v>142</v>
      </c>
      <c r="C13" s="50">
        <v>40000</v>
      </c>
      <c r="D13" s="97">
        <v>652</v>
      </c>
      <c r="E13" s="97">
        <v>653</v>
      </c>
      <c r="F13" s="97">
        <f t="shared" si="1"/>
        <v>1305</v>
      </c>
      <c r="G13" s="103">
        <f t="shared" si="2"/>
        <v>50.038314176245208</v>
      </c>
    </row>
    <row r="14" spans="1:7" ht="27.75" customHeight="1" x14ac:dyDescent="0.25">
      <c r="A14" s="112">
        <v>11</v>
      </c>
      <c r="B14" s="59" t="s">
        <v>143</v>
      </c>
      <c r="C14" s="50">
        <v>80000</v>
      </c>
      <c r="D14" s="97">
        <v>1393</v>
      </c>
      <c r="E14" s="97">
        <v>1486</v>
      </c>
      <c r="F14" s="97">
        <f t="shared" si="1"/>
        <v>2879</v>
      </c>
      <c r="G14" s="103">
        <f t="shared" si="2"/>
        <v>51.615144147273362</v>
      </c>
    </row>
    <row r="15" spans="1:7" ht="26.25" x14ac:dyDescent="0.25">
      <c r="A15" s="112">
        <v>12</v>
      </c>
      <c r="B15" s="59" t="s">
        <v>144</v>
      </c>
      <c r="C15" s="50">
        <v>50000</v>
      </c>
      <c r="D15" s="97">
        <v>803</v>
      </c>
      <c r="E15" s="97">
        <v>858</v>
      </c>
      <c r="F15" s="97">
        <f t="shared" si="1"/>
        <v>1661</v>
      </c>
      <c r="G15" s="103">
        <f t="shared" si="2"/>
        <v>51.65562913907285</v>
      </c>
    </row>
    <row r="16" spans="1:7" ht="26.25" x14ac:dyDescent="0.25">
      <c r="A16" s="112">
        <v>13</v>
      </c>
      <c r="B16" s="59" t="s">
        <v>145</v>
      </c>
      <c r="C16" s="50">
        <v>20000</v>
      </c>
      <c r="D16" s="97">
        <v>190</v>
      </c>
      <c r="E16" s="97">
        <v>189</v>
      </c>
      <c r="F16" s="97">
        <f t="shared" si="1"/>
        <v>379</v>
      </c>
      <c r="G16" s="103">
        <f t="shared" si="2"/>
        <v>49.868073878627968</v>
      </c>
    </row>
    <row r="17" spans="1:7" ht="26.25" x14ac:dyDescent="0.25">
      <c r="A17" s="112">
        <v>14</v>
      </c>
      <c r="B17" s="59" t="s">
        <v>146</v>
      </c>
      <c r="C17" s="50">
        <v>40000</v>
      </c>
      <c r="D17" s="97">
        <v>566</v>
      </c>
      <c r="E17" s="97">
        <v>573</v>
      </c>
      <c r="F17" s="97">
        <f t="shared" si="1"/>
        <v>1139</v>
      </c>
      <c r="G17" s="103">
        <f t="shared" si="2"/>
        <v>50.307287093942051</v>
      </c>
    </row>
    <row r="18" spans="1:7" ht="26.25" x14ac:dyDescent="0.25">
      <c r="A18" s="112">
        <v>15</v>
      </c>
      <c r="B18" s="59" t="s">
        <v>147</v>
      </c>
      <c r="C18" s="50">
        <v>20000</v>
      </c>
      <c r="D18" s="97">
        <v>288</v>
      </c>
      <c r="E18" s="97">
        <v>273</v>
      </c>
      <c r="F18" s="97">
        <f t="shared" si="1"/>
        <v>561</v>
      </c>
      <c r="G18" s="103">
        <f t="shared" si="2"/>
        <v>48.663101604278076</v>
      </c>
    </row>
    <row r="19" spans="1:7" ht="26.25" x14ac:dyDescent="0.25">
      <c r="A19" s="112">
        <v>16</v>
      </c>
      <c r="B19" s="59" t="s">
        <v>148</v>
      </c>
      <c r="C19" s="50">
        <v>100000</v>
      </c>
      <c r="D19" s="97">
        <v>1304</v>
      </c>
      <c r="E19" s="97">
        <v>1363</v>
      </c>
      <c r="F19" s="97">
        <f t="shared" si="1"/>
        <v>2667</v>
      </c>
      <c r="G19" s="103">
        <f t="shared" si="2"/>
        <v>51.106111736032993</v>
      </c>
    </row>
    <row r="20" spans="1:7" ht="26.25" x14ac:dyDescent="0.25">
      <c r="A20" s="112">
        <v>17</v>
      </c>
      <c r="B20" s="59" t="s">
        <v>149</v>
      </c>
      <c r="C20" s="50">
        <v>30000</v>
      </c>
      <c r="D20" s="97">
        <v>533</v>
      </c>
      <c r="E20" s="97">
        <v>523</v>
      </c>
      <c r="F20" s="97">
        <f t="shared" si="1"/>
        <v>1056</v>
      </c>
      <c r="G20" s="103">
        <f t="shared" si="2"/>
        <v>49.526515151515149</v>
      </c>
    </row>
    <row r="21" spans="1:7" ht="26.25" x14ac:dyDescent="0.25">
      <c r="A21" s="112">
        <v>18</v>
      </c>
      <c r="B21" s="59" t="s">
        <v>150</v>
      </c>
      <c r="C21" s="50">
        <v>60000</v>
      </c>
      <c r="D21" s="97">
        <v>589</v>
      </c>
      <c r="E21" s="97">
        <v>584</v>
      </c>
      <c r="F21" s="97">
        <f t="shared" si="1"/>
        <v>1173</v>
      </c>
      <c r="G21" s="103">
        <f t="shared" si="2"/>
        <v>49.786871270247232</v>
      </c>
    </row>
    <row r="22" spans="1:7" ht="26.25" x14ac:dyDescent="0.25">
      <c r="A22" s="112">
        <v>19</v>
      </c>
      <c r="B22" s="59" t="s">
        <v>151</v>
      </c>
      <c r="C22" s="50">
        <v>30000</v>
      </c>
      <c r="D22" s="97">
        <v>272</v>
      </c>
      <c r="E22" s="97">
        <v>301</v>
      </c>
      <c r="F22" s="97">
        <f t="shared" si="1"/>
        <v>573</v>
      </c>
      <c r="G22" s="103">
        <f t="shared" si="2"/>
        <v>52.530541012216403</v>
      </c>
    </row>
    <row r="23" spans="1:7" ht="39" x14ac:dyDescent="0.25">
      <c r="A23" s="112">
        <v>20</v>
      </c>
      <c r="B23" s="59" t="s">
        <v>152</v>
      </c>
      <c r="C23" s="50">
        <v>50000</v>
      </c>
      <c r="D23" s="97">
        <v>15029</v>
      </c>
      <c r="E23" s="97">
        <v>15474</v>
      </c>
      <c r="F23" s="97">
        <f t="shared" si="1"/>
        <v>30503</v>
      </c>
      <c r="G23" s="103">
        <f t="shared" si="2"/>
        <v>50.729436448873884</v>
      </c>
    </row>
    <row r="24" spans="1:7" ht="26.25" x14ac:dyDescent="0.25">
      <c r="A24" s="112">
        <v>21</v>
      </c>
      <c r="B24" s="59" t="s">
        <v>153</v>
      </c>
      <c r="C24" s="50">
        <v>10000</v>
      </c>
      <c r="D24" s="97">
        <v>15029</v>
      </c>
      <c r="E24" s="97">
        <v>15474</v>
      </c>
      <c r="F24" s="97">
        <f t="shared" si="1"/>
        <v>30503</v>
      </c>
      <c r="G24" s="103">
        <f t="shared" si="2"/>
        <v>50.729436448873884</v>
      </c>
    </row>
    <row r="25" spans="1:7" ht="26.25" x14ac:dyDescent="0.25">
      <c r="A25" s="112">
        <v>22</v>
      </c>
      <c r="B25" s="59" t="s">
        <v>154</v>
      </c>
      <c r="C25" s="50">
        <v>70000</v>
      </c>
      <c r="D25" s="97">
        <v>755</v>
      </c>
      <c r="E25" s="97">
        <v>727</v>
      </c>
      <c r="F25" s="97">
        <f t="shared" si="1"/>
        <v>1482</v>
      </c>
      <c r="G25" s="103">
        <f t="shared" si="2"/>
        <v>49.055330634278</v>
      </c>
    </row>
    <row r="26" spans="1:7" ht="26.25" x14ac:dyDescent="0.25">
      <c r="A26" s="112">
        <v>23</v>
      </c>
      <c r="B26" s="59" t="s">
        <v>155</v>
      </c>
      <c r="C26" s="50">
        <v>130000</v>
      </c>
      <c r="D26" s="97">
        <v>15029</v>
      </c>
      <c r="E26" s="97">
        <v>15474</v>
      </c>
      <c r="F26" s="97">
        <f t="shared" si="1"/>
        <v>30503</v>
      </c>
      <c r="G26" s="103">
        <f t="shared" si="2"/>
        <v>50.729436448873884</v>
      </c>
    </row>
    <row r="27" spans="1:7" ht="26.25" x14ac:dyDescent="0.25">
      <c r="A27" s="112">
        <v>24</v>
      </c>
      <c r="B27" s="59" t="s">
        <v>156</v>
      </c>
      <c r="C27" s="50">
        <v>35000</v>
      </c>
      <c r="D27" s="97">
        <v>640</v>
      </c>
      <c r="E27" s="97">
        <v>682</v>
      </c>
      <c r="F27" s="97">
        <f t="shared" si="1"/>
        <v>1322</v>
      </c>
      <c r="G27" s="103">
        <f t="shared" si="2"/>
        <v>51.588502269288959</v>
      </c>
    </row>
    <row r="28" spans="1:7" ht="26.25" x14ac:dyDescent="0.25">
      <c r="A28" s="112">
        <v>25</v>
      </c>
      <c r="B28" s="59" t="s">
        <v>157</v>
      </c>
      <c r="C28" s="50">
        <v>35000</v>
      </c>
      <c r="D28" s="97">
        <v>333</v>
      </c>
      <c r="E28" s="97">
        <v>322</v>
      </c>
      <c r="F28" s="97">
        <f t="shared" si="1"/>
        <v>655</v>
      </c>
      <c r="G28" s="103">
        <f t="shared" si="2"/>
        <v>49.160305343511453</v>
      </c>
    </row>
    <row r="29" spans="1:7" x14ac:dyDescent="0.25">
      <c r="A29" s="112">
        <v>26</v>
      </c>
      <c r="B29" s="49" t="s">
        <v>158</v>
      </c>
      <c r="C29" s="50">
        <v>50000</v>
      </c>
      <c r="D29" s="97">
        <v>2695</v>
      </c>
      <c r="E29" s="97">
        <v>2832</v>
      </c>
      <c r="F29" s="97">
        <f t="shared" si="1"/>
        <v>5527</v>
      </c>
      <c r="G29" s="103">
        <f t="shared" si="2"/>
        <v>51.239370363669259</v>
      </c>
    </row>
    <row r="30" spans="1:7" x14ac:dyDescent="0.25">
      <c r="A30" s="112">
        <v>27</v>
      </c>
      <c r="B30" s="59" t="s">
        <v>159</v>
      </c>
      <c r="C30" s="50">
        <v>50000</v>
      </c>
      <c r="D30" s="97">
        <v>2695</v>
      </c>
      <c r="E30" s="97">
        <v>2832</v>
      </c>
      <c r="F30" s="97">
        <f t="shared" si="1"/>
        <v>5527</v>
      </c>
      <c r="G30" s="103">
        <f t="shared" si="2"/>
        <v>51.239370363669259</v>
      </c>
    </row>
    <row r="31" spans="1:7" x14ac:dyDescent="0.25">
      <c r="A31" s="112">
        <v>28</v>
      </c>
      <c r="B31" s="59" t="s">
        <v>160</v>
      </c>
      <c r="C31" s="50">
        <v>30000</v>
      </c>
      <c r="D31" s="97">
        <v>2695</v>
      </c>
      <c r="E31" s="97">
        <v>2832</v>
      </c>
      <c r="F31" s="97">
        <f t="shared" si="1"/>
        <v>5527</v>
      </c>
      <c r="G31" s="103">
        <f t="shared" si="2"/>
        <v>51.239370363669259</v>
      </c>
    </row>
    <row r="32" spans="1:7" x14ac:dyDescent="0.25">
      <c r="A32" s="112">
        <v>29</v>
      </c>
      <c r="B32" s="59" t="s">
        <v>161</v>
      </c>
      <c r="C32" s="50">
        <v>10000</v>
      </c>
      <c r="D32" s="97">
        <v>2695</v>
      </c>
      <c r="E32" s="97">
        <v>2832</v>
      </c>
      <c r="F32" s="97">
        <f t="shared" si="1"/>
        <v>5527</v>
      </c>
      <c r="G32" s="103">
        <f t="shared" si="2"/>
        <v>51.239370363669259</v>
      </c>
    </row>
    <row r="33" spans="1:7" x14ac:dyDescent="0.25">
      <c r="A33" s="112">
        <v>30</v>
      </c>
      <c r="B33" s="153" t="s">
        <v>227</v>
      </c>
      <c r="C33" s="58">
        <v>50000</v>
      </c>
      <c r="D33" s="97">
        <v>287</v>
      </c>
      <c r="E33" s="97">
        <v>316</v>
      </c>
      <c r="F33" s="97">
        <f t="shared" si="1"/>
        <v>603</v>
      </c>
      <c r="G33" s="97">
        <f t="shared" si="2"/>
        <v>52.404643449419567</v>
      </c>
    </row>
    <row r="34" spans="1:7" x14ac:dyDescent="0.25">
      <c r="A34" s="112">
        <v>31</v>
      </c>
      <c r="B34" s="49" t="s">
        <v>228</v>
      </c>
      <c r="C34" s="56">
        <v>10000</v>
      </c>
      <c r="D34" s="97">
        <v>2695</v>
      </c>
      <c r="E34" s="97">
        <v>2832</v>
      </c>
      <c r="F34" s="97">
        <f t="shared" si="1"/>
        <v>5527</v>
      </c>
      <c r="G34" s="97">
        <f t="shared" si="2"/>
        <v>51.239370363669259</v>
      </c>
    </row>
    <row r="35" spans="1:7" x14ac:dyDescent="0.25">
      <c r="A35" s="97">
        <v>32</v>
      </c>
      <c r="B35" s="97" t="s">
        <v>162</v>
      </c>
      <c r="C35" s="63">
        <v>10000</v>
      </c>
      <c r="D35" s="97">
        <v>2695</v>
      </c>
      <c r="E35" s="97">
        <v>2832</v>
      </c>
      <c r="F35" s="97">
        <f t="shared" ref="F35" si="3">D35+E35</f>
        <v>5527</v>
      </c>
      <c r="G35" s="97">
        <f t="shared" si="2"/>
        <v>51.239370363669259</v>
      </c>
    </row>
    <row r="36" spans="1:7" ht="36" customHeight="1" x14ac:dyDescent="0.25">
      <c r="A36" s="114"/>
      <c r="B36" s="154" t="s">
        <v>44</v>
      </c>
      <c r="C36" s="160">
        <f>SUM(C4:C35)</f>
        <v>2960000</v>
      </c>
      <c r="D36" s="156">
        <f>SUM(D4:D34)</f>
        <v>97470</v>
      </c>
      <c r="E36" s="156">
        <f>SUM(E4:E34)</f>
        <v>100858</v>
      </c>
      <c r="F36" s="156">
        <f t="shared" si="1"/>
        <v>198328</v>
      </c>
      <c r="G36" s="157">
        <f t="shared" ref="G36:G37" si="4">E36*100/F36</f>
        <v>50.854140615545965</v>
      </c>
    </row>
    <row r="37" spans="1:7" ht="26.25" x14ac:dyDescent="0.25">
      <c r="A37" s="112">
        <v>31</v>
      </c>
      <c r="B37" s="59" t="s">
        <v>163</v>
      </c>
      <c r="C37" s="50">
        <v>70000</v>
      </c>
      <c r="D37" s="97">
        <v>1429</v>
      </c>
      <c r="E37" s="97">
        <v>1514</v>
      </c>
      <c r="F37" s="97">
        <f t="shared" si="1"/>
        <v>2943</v>
      </c>
      <c r="G37" s="103">
        <f t="shared" si="4"/>
        <v>51.444104655113833</v>
      </c>
    </row>
    <row r="38" spans="1:7" ht="39" x14ac:dyDescent="0.25">
      <c r="A38" s="112">
        <v>32</v>
      </c>
      <c r="B38" s="59" t="s">
        <v>164</v>
      </c>
      <c r="C38" s="50">
        <v>185000</v>
      </c>
      <c r="D38" s="97">
        <v>6855</v>
      </c>
      <c r="E38" s="97">
        <v>7058</v>
      </c>
      <c r="F38" s="97">
        <f t="shared" si="1"/>
        <v>13913</v>
      </c>
      <c r="G38" s="103">
        <f t="shared" ref="G38" si="5">E38*100/F38</f>
        <v>50.729533529792278</v>
      </c>
    </row>
    <row r="39" spans="1:7" ht="26.25" x14ac:dyDescent="0.25">
      <c r="A39" s="112">
        <v>33</v>
      </c>
      <c r="B39" s="59" t="s">
        <v>101</v>
      </c>
      <c r="C39" s="56">
        <v>170000</v>
      </c>
      <c r="D39" s="97">
        <v>4015</v>
      </c>
      <c r="E39" s="97">
        <v>4164</v>
      </c>
      <c r="F39" s="97">
        <f t="shared" si="1"/>
        <v>8179</v>
      </c>
      <c r="G39" s="97"/>
    </row>
    <row r="40" spans="1:7" ht="26.25" x14ac:dyDescent="0.25">
      <c r="A40" s="112">
        <v>36</v>
      </c>
      <c r="B40" s="59" t="s">
        <v>165</v>
      </c>
      <c r="C40" s="56">
        <v>90000</v>
      </c>
      <c r="D40" s="97">
        <v>498</v>
      </c>
      <c r="E40" s="97">
        <v>494</v>
      </c>
      <c r="F40" s="97">
        <f t="shared" si="1"/>
        <v>992</v>
      </c>
      <c r="G40" s="97"/>
    </row>
    <row r="41" spans="1:7" ht="39" x14ac:dyDescent="0.25">
      <c r="A41" s="112">
        <v>38</v>
      </c>
      <c r="B41" s="59" t="s">
        <v>166</v>
      </c>
      <c r="C41" s="50">
        <v>130000</v>
      </c>
      <c r="D41" s="97">
        <v>3473</v>
      </c>
      <c r="E41" s="97">
        <v>3587</v>
      </c>
      <c r="F41" s="97">
        <f t="shared" si="1"/>
        <v>7060</v>
      </c>
      <c r="G41" s="103">
        <f t="shared" ref="G41:G47" si="6">E41*100/F41</f>
        <v>50.807365439093488</v>
      </c>
    </row>
    <row r="42" spans="1:7" ht="27.75" customHeight="1" x14ac:dyDescent="0.25">
      <c r="A42" s="114"/>
      <c r="B42" s="154" t="s">
        <v>51</v>
      </c>
      <c r="C42" s="155">
        <f>SUM(C37:C41)</f>
        <v>645000</v>
      </c>
      <c r="D42" s="155">
        <f t="shared" ref="D42:F42" si="7">SUM(D37:D41)</f>
        <v>16270</v>
      </c>
      <c r="E42" s="155">
        <f t="shared" si="7"/>
        <v>16817</v>
      </c>
      <c r="F42" s="155">
        <f t="shared" si="7"/>
        <v>33087</v>
      </c>
      <c r="G42" s="157">
        <f t="shared" si="6"/>
        <v>50.826608637833587</v>
      </c>
    </row>
    <row r="43" spans="1:7" ht="26.25" x14ac:dyDescent="0.25">
      <c r="A43" s="112">
        <v>39</v>
      </c>
      <c r="B43" s="59" t="s">
        <v>167</v>
      </c>
      <c r="C43" s="50">
        <v>30000</v>
      </c>
      <c r="D43" s="97">
        <v>3498</v>
      </c>
      <c r="E43" s="97">
        <v>3422</v>
      </c>
      <c r="F43" s="97">
        <f t="shared" si="1"/>
        <v>6920</v>
      </c>
      <c r="G43" s="103">
        <f t="shared" si="6"/>
        <v>49.450867052023121</v>
      </c>
    </row>
    <row r="44" spans="1:7" ht="51" x14ac:dyDescent="0.25">
      <c r="A44" s="112">
        <v>40</v>
      </c>
      <c r="B44" s="159" t="s">
        <v>168</v>
      </c>
      <c r="C44" s="58">
        <v>90000</v>
      </c>
      <c r="D44" s="97">
        <v>3498</v>
      </c>
      <c r="E44" s="97">
        <v>3422</v>
      </c>
      <c r="F44" s="97">
        <f t="shared" si="1"/>
        <v>6920</v>
      </c>
      <c r="G44" s="103">
        <f t="shared" si="6"/>
        <v>49.450867052023121</v>
      </c>
    </row>
    <row r="45" spans="1:7" ht="39" x14ac:dyDescent="0.25">
      <c r="A45" s="112">
        <v>41</v>
      </c>
      <c r="B45" s="59" t="s">
        <v>169</v>
      </c>
      <c r="C45" s="88">
        <v>0</v>
      </c>
      <c r="D45" s="97">
        <v>3498</v>
      </c>
      <c r="E45" s="97">
        <v>3422</v>
      </c>
      <c r="F45" s="97">
        <f t="shared" si="1"/>
        <v>6920</v>
      </c>
      <c r="G45" s="103">
        <f t="shared" si="6"/>
        <v>49.450867052023121</v>
      </c>
    </row>
    <row r="46" spans="1:7" ht="26.25" x14ac:dyDescent="0.25">
      <c r="A46" s="112">
        <v>42</v>
      </c>
      <c r="B46" s="59" t="s">
        <v>170</v>
      </c>
      <c r="C46" s="88">
        <v>60000</v>
      </c>
      <c r="D46" s="97">
        <v>3498</v>
      </c>
      <c r="E46" s="97">
        <v>3422</v>
      </c>
      <c r="F46" s="97">
        <f t="shared" si="1"/>
        <v>6920</v>
      </c>
      <c r="G46" s="103">
        <f t="shared" si="6"/>
        <v>49.450867052023121</v>
      </c>
    </row>
    <row r="47" spans="1:7" ht="24" customHeight="1" x14ac:dyDescent="0.25">
      <c r="A47" s="114"/>
      <c r="B47" s="54" t="s">
        <v>49</v>
      </c>
      <c r="C47" s="55">
        <f>SUM(C43:C46)</f>
        <v>180000</v>
      </c>
      <c r="D47" s="55">
        <f t="shared" ref="D47:E47" si="8">SUM(D43:D46)</f>
        <v>13992</v>
      </c>
      <c r="E47" s="55">
        <f t="shared" si="8"/>
        <v>13688</v>
      </c>
      <c r="F47" s="156">
        <f t="shared" si="1"/>
        <v>27680</v>
      </c>
      <c r="G47" s="157">
        <f t="shared" si="6"/>
        <v>49.450867052023121</v>
      </c>
    </row>
    <row r="48" spans="1:7" x14ac:dyDescent="0.25">
      <c r="A48" s="112">
        <v>43</v>
      </c>
      <c r="B48" s="59" t="s">
        <v>171</v>
      </c>
      <c r="C48" s="50">
        <v>40000</v>
      </c>
      <c r="D48" s="97">
        <v>15029</v>
      </c>
      <c r="E48" s="97">
        <v>15474</v>
      </c>
      <c r="F48" s="97">
        <f t="shared" si="1"/>
        <v>30503</v>
      </c>
      <c r="G48" s="103">
        <f t="shared" ref="G48:G50" si="9">E48*100/F48</f>
        <v>50.729436448873884</v>
      </c>
    </row>
    <row r="49" spans="1:7" ht="26.25" x14ac:dyDescent="0.25">
      <c r="A49" s="112">
        <v>44</v>
      </c>
      <c r="B49" s="59" t="s">
        <v>172</v>
      </c>
      <c r="C49" s="158">
        <v>30000</v>
      </c>
      <c r="D49" s="97">
        <v>1251</v>
      </c>
      <c r="E49" s="97">
        <v>1295</v>
      </c>
      <c r="F49" s="97">
        <f t="shared" si="1"/>
        <v>2546</v>
      </c>
      <c r="G49" s="103">
        <f t="shared" si="9"/>
        <v>50.864100549882167</v>
      </c>
    </row>
    <row r="50" spans="1:7" ht="24.75" customHeight="1" x14ac:dyDescent="0.25">
      <c r="A50" s="114"/>
      <c r="B50" s="54" t="s">
        <v>46</v>
      </c>
      <c r="C50" s="55">
        <f>SUM(C48:C49)</f>
        <v>70000</v>
      </c>
      <c r="D50" s="55">
        <f t="shared" ref="D50:F50" si="10">SUM(D48:D49)</f>
        <v>16280</v>
      </c>
      <c r="E50" s="55">
        <f t="shared" si="10"/>
        <v>16769</v>
      </c>
      <c r="F50" s="55">
        <f t="shared" si="10"/>
        <v>33049</v>
      </c>
      <c r="G50" s="157">
        <f t="shared" si="9"/>
        <v>50.739810584283944</v>
      </c>
    </row>
    <row r="51" spans="1:7" x14ac:dyDescent="0.25">
      <c r="A51" s="112">
        <v>45</v>
      </c>
      <c r="B51" s="49" t="s">
        <v>173</v>
      </c>
      <c r="C51" s="50">
        <v>20000</v>
      </c>
      <c r="D51" s="97">
        <v>1742</v>
      </c>
      <c r="E51" s="97">
        <v>1890</v>
      </c>
      <c r="F51" s="97">
        <f t="shared" si="1"/>
        <v>3632</v>
      </c>
      <c r="G51" s="103">
        <f t="shared" ref="G51:G57" si="11">E51*100/F51</f>
        <v>52.037444933920703</v>
      </c>
    </row>
    <row r="52" spans="1:7" ht="24" customHeight="1" x14ac:dyDescent="0.25">
      <c r="A52" s="114"/>
      <c r="B52" s="154" t="s">
        <v>174</v>
      </c>
      <c r="C52" s="155">
        <f>C51</f>
        <v>20000</v>
      </c>
      <c r="D52" s="155">
        <f t="shared" ref="D52:F52" si="12">D51</f>
        <v>1742</v>
      </c>
      <c r="E52" s="155">
        <f t="shared" si="12"/>
        <v>1890</v>
      </c>
      <c r="F52" s="155">
        <f t="shared" si="12"/>
        <v>3632</v>
      </c>
      <c r="G52" s="157">
        <f t="shared" si="11"/>
        <v>52.037444933920703</v>
      </c>
    </row>
    <row r="53" spans="1:7" x14ac:dyDescent="0.25">
      <c r="A53" s="112">
        <v>46</v>
      </c>
      <c r="B53" s="49" t="s">
        <v>175</v>
      </c>
      <c r="C53" s="50">
        <v>20000</v>
      </c>
      <c r="D53" s="97">
        <v>15029</v>
      </c>
      <c r="E53" s="97">
        <v>15474</v>
      </c>
      <c r="F53" s="97">
        <f t="shared" si="1"/>
        <v>30503</v>
      </c>
      <c r="G53" s="103">
        <f t="shared" si="11"/>
        <v>50.729436448873884</v>
      </c>
    </row>
    <row r="54" spans="1:7" x14ac:dyDescent="0.25">
      <c r="A54" s="112">
        <v>47</v>
      </c>
      <c r="B54" s="153" t="s">
        <v>176</v>
      </c>
      <c r="C54" s="58">
        <v>35000</v>
      </c>
      <c r="D54" s="97">
        <v>563</v>
      </c>
      <c r="E54" s="97">
        <v>519</v>
      </c>
      <c r="F54" s="97">
        <f t="shared" si="1"/>
        <v>1082</v>
      </c>
      <c r="G54" s="103">
        <f t="shared" si="11"/>
        <v>47.966728280961185</v>
      </c>
    </row>
    <row r="55" spans="1:7" ht="24.75" customHeight="1" x14ac:dyDescent="0.25">
      <c r="A55" s="114"/>
      <c r="B55" s="154" t="s">
        <v>47</v>
      </c>
      <c r="C55" s="155">
        <f>SUM(C53:C54)</f>
        <v>55000</v>
      </c>
      <c r="D55" s="155">
        <f t="shared" ref="D55:F55" si="13">SUM(D53:D54)</f>
        <v>15592</v>
      </c>
      <c r="E55" s="155">
        <f t="shared" si="13"/>
        <v>15993</v>
      </c>
      <c r="F55" s="155">
        <f t="shared" si="13"/>
        <v>31585</v>
      </c>
      <c r="G55" s="157">
        <f t="shared" si="11"/>
        <v>50.634794997625455</v>
      </c>
    </row>
    <row r="56" spans="1:7" ht="26.25" x14ac:dyDescent="0.25">
      <c r="A56" s="112">
        <v>48</v>
      </c>
      <c r="B56" s="59" t="s">
        <v>177</v>
      </c>
      <c r="C56" s="50">
        <v>40000</v>
      </c>
      <c r="D56" s="97">
        <v>5469</v>
      </c>
      <c r="E56" s="97">
        <v>5367</v>
      </c>
      <c r="F56" s="97">
        <f t="shared" si="1"/>
        <v>10836</v>
      </c>
      <c r="G56" s="103">
        <f t="shared" si="11"/>
        <v>49.529346622369879</v>
      </c>
    </row>
    <row r="57" spans="1:7" ht="21" customHeight="1" x14ac:dyDescent="0.25">
      <c r="A57" s="114"/>
      <c r="B57" s="154" t="s">
        <v>48</v>
      </c>
      <c r="C57" s="55">
        <f>C56</f>
        <v>40000</v>
      </c>
      <c r="D57" s="55">
        <f t="shared" ref="D57:F57" si="14">D56</f>
        <v>5469</v>
      </c>
      <c r="E57" s="55">
        <f t="shared" si="14"/>
        <v>5367</v>
      </c>
      <c r="F57" s="55">
        <f t="shared" si="14"/>
        <v>10836</v>
      </c>
      <c r="G57" s="157">
        <f t="shared" si="11"/>
        <v>49.529346622369879</v>
      </c>
    </row>
    <row r="58" spans="1:7" x14ac:dyDescent="0.25">
      <c r="A58" s="112">
        <v>49</v>
      </c>
      <c r="B58" s="153" t="s">
        <v>178</v>
      </c>
      <c r="C58" s="58"/>
      <c r="D58" s="97"/>
      <c r="E58" s="97"/>
      <c r="F58" s="97">
        <f t="shared" si="1"/>
        <v>0</v>
      </c>
      <c r="G58" s="97"/>
    </row>
    <row r="59" spans="1:7" ht="26.25" customHeight="1" x14ac:dyDescent="0.25">
      <c r="A59" s="114"/>
      <c r="B59" s="154" t="s">
        <v>100</v>
      </c>
      <c r="C59" s="155">
        <f>C58</f>
        <v>0</v>
      </c>
      <c r="D59" s="155">
        <f t="shared" ref="D59:F59" si="15">D58</f>
        <v>0</v>
      </c>
      <c r="E59" s="155">
        <f t="shared" si="15"/>
        <v>0</v>
      </c>
      <c r="F59" s="155">
        <f t="shared" si="15"/>
        <v>0</v>
      </c>
      <c r="G59" s="157" t="e">
        <f t="shared" ref="G59:G60" si="16">E59*100/F59</f>
        <v>#DIV/0!</v>
      </c>
    </row>
    <row r="60" spans="1:7" ht="25.5" x14ac:dyDescent="0.25">
      <c r="A60" s="112">
        <v>50</v>
      </c>
      <c r="B60" s="159" t="s">
        <v>179</v>
      </c>
      <c r="C60" s="58">
        <v>130000</v>
      </c>
      <c r="D60" s="97">
        <v>2213</v>
      </c>
      <c r="E60" s="97">
        <v>2265</v>
      </c>
      <c r="F60" s="97">
        <f t="shared" si="1"/>
        <v>4478</v>
      </c>
      <c r="G60" s="103">
        <f t="shared" si="16"/>
        <v>50.580616346583298</v>
      </c>
    </row>
    <row r="61" spans="1:7" ht="24.75" customHeight="1" x14ac:dyDescent="0.25">
      <c r="A61" s="150"/>
      <c r="B61" s="151" t="s">
        <v>45</v>
      </c>
      <c r="C61" s="152">
        <f>C60</f>
        <v>130000</v>
      </c>
      <c r="D61" s="55">
        <f t="shared" ref="D61:F61" si="17">D60</f>
        <v>2213</v>
      </c>
      <c r="E61" s="55">
        <f t="shared" si="17"/>
        <v>2265</v>
      </c>
      <c r="F61" s="55">
        <f t="shared" si="17"/>
        <v>4478</v>
      </c>
      <c r="G61" s="157">
        <f t="shared" ref="G61:G62" si="18">E61*100/F61</f>
        <v>50.580616346583298</v>
      </c>
    </row>
    <row r="62" spans="1:7" ht="35.25" customHeight="1" x14ac:dyDescent="0.25">
      <c r="A62" s="162"/>
      <c r="B62" s="163" t="s">
        <v>50</v>
      </c>
      <c r="C62" s="164">
        <f>C36+C42+C47+C50+C52+C55+C57+C59+C61</f>
        <v>4100000</v>
      </c>
      <c r="D62" s="164">
        <f t="shared" ref="D62:F62" si="19">D36+D42+D47+D50+D52+D55+D57+D59+D61</f>
        <v>169028</v>
      </c>
      <c r="E62" s="164">
        <f t="shared" si="19"/>
        <v>173647</v>
      </c>
      <c r="F62" s="164">
        <f t="shared" si="19"/>
        <v>342675</v>
      </c>
      <c r="G62" s="161">
        <f t="shared" si="18"/>
        <v>50.673962209090249</v>
      </c>
    </row>
  </sheetData>
  <mergeCells count="1">
    <mergeCell ref="D2:G2"/>
  </mergeCells>
  <pageMargins left="0.7" right="0.7" top="0.75" bottom="0.75" header="0.3" footer="0.3"/>
  <pageSetup scale="82" orientation="portrait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topLeftCell="A10" zoomScaleNormal="100" workbookViewId="0">
      <selection sqref="A1:H21"/>
    </sheetView>
  </sheetViews>
  <sheetFormatPr defaultRowHeight="15" x14ac:dyDescent="0.25"/>
  <cols>
    <col min="1" max="1" width="32.5703125" customWidth="1"/>
    <col min="2" max="2" width="9.28515625" customWidth="1"/>
    <col min="3" max="5" width="9.7109375" customWidth="1"/>
    <col min="6" max="6" width="14.42578125" customWidth="1"/>
    <col min="7" max="7" width="14.7109375" customWidth="1"/>
    <col min="8" max="8" width="13.140625" customWidth="1"/>
  </cols>
  <sheetData>
    <row r="1" spans="1:8" ht="16.5" thickBot="1" x14ac:dyDescent="0.3">
      <c r="A1" s="195" t="s">
        <v>119</v>
      </c>
      <c r="B1" s="195"/>
      <c r="C1" s="195"/>
      <c r="D1" s="195"/>
      <c r="E1" s="195"/>
      <c r="F1" s="195"/>
      <c r="G1" s="195"/>
      <c r="H1" s="195"/>
    </row>
    <row r="2" spans="1:8" ht="15.6" customHeight="1" x14ac:dyDescent="0.25">
      <c r="A2" s="191" t="s">
        <v>17</v>
      </c>
      <c r="B2" s="197" t="s">
        <v>220</v>
      </c>
      <c r="C2" s="197" t="s">
        <v>221</v>
      </c>
      <c r="D2" s="197" t="s">
        <v>23</v>
      </c>
      <c r="E2" s="196" t="s">
        <v>219</v>
      </c>
      <c r="F2" s="193">
        <v>2026</v>
      </c>
      <c r="G2" s="193"/>
      <c r="H2" s="194"/>
    </row>
    <row r="3" spans="1:8" ht="27.6" customHeight="1" x14ac:dyDescent="0.25">
      <c r="A3" s="192"/>
      <c r="B3" s="197"/>
      <c r="C3" s="197"/>
      <c r="D3" s="197"/>
      <c r="E3" s="196"/>
      <c r="F3" s="96" t="s">
        <v>117</v>
      </c>
      <c r="G3" s="96" t="s">
        <v>118</v>
      </c>
      <c r="H3" s="101" t="s">
        <v>116</v>
      </c>
    </row>
    <row r="4" spans="1:8" x14ac:dyDescent="0.25">
      <c r="A4" s="43" t="s">
        <v>24</v>
      </c>
      <c r="B4" s="43">
        <v>15</v>
      </c>
      <c r="C4" s="43">
        <v>6</v>
      </c>
      <c r="D4" s="43">
        <f>B4+C4</f>
        <v>21</v>
      </c>
      <c r="E4" s="147">
        <f>C4*100/D4</f>
        <v>28.571428571428573</v>
      </c>
      <c r="F4" s="177">
        <f>175404.82-799.41</f>
        <v>174605.41</v>
      </c>
      <c r="G4" s="177">
        <f>62913.98-700</f>
        <v>62213.98</v>
      </c>
      <c r="H4" s="87">
        <f>F4+G4+0.005</f>
        <v>236819.39500000002</v>
      </c>
    </row>
    <row r="5" spans="1:8" x14ac:dyDescent="0.25">
      <c r="A5" s="43" t="s">
        <v>25</v>
      </c>
      <c r="B5" s="43">
        <v>14</v>
      </c>
      <c r="C5" s="43">
        <v>13</v>
      </c>
      <c r="D5" s="43">
        <f t="shared" ref="D5:D21" si="0">B5+C5</f>
        <v>27</v>
      </c>
      <c r="E5" s="147">
        <f t="shared" ref="E5:E21" si="1">C5*100/D5</f>
        <v>48.148148148148145</v>
      </c>
      <c r="F5" s="87">
        <f>140034.71-1000</f>
        <v>139034.71</v>
      </c>
      <c r="G5" s="177">
        <f>119257.69-927.81</f>
        <v>118329.88</v>
      </c>
      <c r="H5" s="87">
        <f t="shared" ref="H5:H20" si="2">F5+G5</f>
        <v>257364.59</v>
      </c>
    </row>
    <row r="6" spans="1:8" x14ac:dyDescent="0.25">
      <c r="A6" s="43" t="s">
        <v>26</v>
      </c>
      <c r="B6" s="43">
        <v>25</v>
      </c>
      <c r="C6" s="43">
        <v>13</v>
      </c>
      <c r="D6" s="43">
        <f t="shared" si="0"/>
        <v>38</v>
      </c>
      <c r="E6" s="147">
        <f t="shared" si="1"/>
        <v>34.210526315789473</v>
      </c>
      <c r="F6" s="177">
        <f>215807.75-1713.21</f>
        <v>214094.54</v>
      </c>
      <c r="G6" s="177">
        <f>116418.05-1000</f>
        <v>115418.05</v>
      </c>
      <c r="H6" s="87">
        <f>F6+G6+0.005</f>
        <v>329512.59500000003</v>
      </c>
    </row>
    <row r="7" spans="1:8" x14ac:dyDescent="0.25">
      <c r="A7" s="43" t="s">
        <v>39</v>
      </c>
      <c r="B7" s="43">
        <v>0</v>
      </c>
      <c r="C7" s="43">
        <v>1</v>
      </c>
      <c r="D7" s="43">
        <f t="shared" si="0"/>
        <v>1</v>
      </c>
      <c r="E7" s="147">
        <f t="shared" si="1"/>
        <v>100</v>
      </c>
      <c r="F7" s="177">
        <v>0</v>
      </c>
      <c r="G7" s="178">
        <f>9978.1605-71.4</f>
        <v>9906.7605000000003</v>
      </c>
      <c r="H7" s="87">
        <f t="shared" si="2"/>
        <v>9906.7605000000003</v>
      </c>
    </row>
    <row r="8" spans="1:8" x14ac:dyDescent="0.25">
      <c r="A8" s="43" t="s">
        <v>27</v>
      </c>
      <c r="B8" s="43">
        <v>8</v>
      </c>
      <c r="C8" s="43">
        <v>0</v>
      </c>
      <c r="D8" s="43">
        <f t="shared" si="0"/>
        <v>8</v>
      </c>
      <c r="E8" s="147">
        <f t="shared" si="1"/>
        <v>0</v>
      </c>
      <c r="F8" s="177">
        <f>92394.2943-571.2</f>
        <v>91823.094299999997</v>
      </c>
      <c r="G8" s="177">
        <v>0</v>
      </c>
      <c r="H8" s="87">
        <f t="shared" si="2"/>
        <v>91823.094299999997</v>
      </c>
    </row>
    <row r="9" spans="1:8" x14ac:dyDescent="0.25">
      <c r="A9" s="43" t="s">
        <v>28</v>
      </c>
      <c r="B9" s="43">
        <v>10</v>
      </c>
      <c r="C9" s="43">
        <v>11</v>
      </c>
      <c r="D9" s="43">
        <f t="shared" si="0"/>
        <v>21</v>
      </c>
      <c r="E9" s="147">
        <f t="shared" si="1"/>
        <v>52.38095238095238</v>
      </c>
      <c r="F9" s="177">
        <f>96155-700</f>
        <v>95455</v>
      </c>
      <c r="G9" s="177">
        <f>102936.8-799.44</f>
        <v>102137.36</v>
      </c>
      <c r="H9" s="87">
        <f>F9+G9+0.005</f>
        <v>197592.36499999999</v>
      </c>
    </row>
    <row r="10" spans="1:8" x14ac:dyDescent="0.25">
      <c r="A10" s="43" t="s">
        <v>29</v>
      </c>
      <c r="B10" s="43">
        <v>3</v>
      </c>
      <c r="C10" s="43">
        <v>0</v>
      </c>
      <c r="D10" s="43">
        <f t="shared" si="0"/>
        <v>3</v>
      </c>
      <c r="E10" s="147">
        <f t="shared" si="1"/>
        <v>0</v>
      </c>
      <c r="F10" s="177">
        <f>31603.5027-214.2</f>
        <v>31389.3027</v>
      </c>
      <c r="G10" s="177">
        <v>0</v>
      </c>
      <c r="H10" s="87">
        <f t="shared" si="2"/>
        <v>31389.3027</v>
      </c>
    </row>
    <row r="11" spans="1:8" x14ac:dyDescent="0.25">
      <c r="A11" s="43" t="s">
        <v>30</v>
      </c>
      <c r="B11" s="43">
        <v>15</v>
      </c>
      <c r="C11" s="43">
        <v>0</v>
      </c>
      <c r="D11" s="43">
        <f t="shared" si="0"/>
        <v>15</v>
      </c>
      <c r="E11" s="147">
        <f t="shared" si="1"/>
        <v>0</v>
      </c>
      <c r="F11" s="177">
        <f>142713.9945+48000.01-49071.01</f>
        <v>141642.9945</v>
      </c>
      <c r="G11" s="177">
        <v>0</v>
      </c>
      <c r="H11" s="87">
        <f t="shared" si="2"/>
        <v>141642.9945</v>
      </c>
    </row>
    <row r="12" spans="1:8" x14ac:dyDescent="0.25">
      <c r="A12" s="43" t="s">
        <v>31</v>
      </c>
      <c r="B12" s="43">
        <v>3</v>
      </c>
      <c r="C12" s="43">
        <v>1</v>
      </c>
      <c r="D12" s="43">
        <f t="shared" si="0"/>
        <v>4</v>
      </c>
      <c r="E12" s="147">
        <f t="shared" si="1"/>
        <v>25</v>
      </c>
      <c r="F12" s="177">
        <f>26827.55-285.6</f>
        <v>26541.95</v>
      </c>
      <c r="G12" s="177">
        <v>12446.765099999997</v>
      </c>
      <c r="H12" s="87">
        <f t="shared" si="2"/>
        <v>38988.715100000001</v>
      </c>
    </row>
    <row r="13" spans="1:8" x14ac:dyDescent="0.25">
      <c r="A13" s="43" t="s">
        <v>32</v>
      </c>
      <c r="B13" s="43">
        <v>5</v>
      </c>
      <c r="C13" s="43">
        <v>0</v>
      </c>
      <c r="D13" s="43">
        <f t="shared" si="0"/>
        <v>5</v>
      </c>
      <c r="E13" s="147">
        <f t="shared" si="1"/>
        <v>0</v>
      </c>
      <c r="F13" s="177">
        <f>53944.4367-357</f>
        <v>53587.436699999998</v>
      </c>
      <c r="G13" s="177">
        <v>0</v>
      </c>
      <c r="H13" s="87">
        <f t="shared" si="2"/>
        <v>53587.436699999998</v>
      </c>
    </row>
    <row r="14" spans="1:8" x14ac:dyDescent="0.25">
      <c r="A14" s="43" t="s">
        <v>33</v>
      </c>
      <c r="B14" s="43">
        <v>5</v>
      </c>
      <c r="C14" s="43">
        <v>4</v>
      </c>
      <c r="D14" s="43">
        <f t="shared" si="0"/>
        <v>9</v>
      </c>
      <c r="E14" s="147">
        <f t="shared" si="1"/>
        <v>44.444444444444443</v>
      </c>
      <c r="F14" s="177">
        <f>52314.09-642.6</f>
        <v>51671.49</v>
      </c>
      <c r="G14" s="177">
        <v>36409.870000000003</v>
      </c>
      <c r="H14" s="87">
        <f t="shared" si="2"/>
        <v>88081.36</v>
      </c>
    </row>
    <row r="15" spans="1:8" x14ac:dyDescent="0.25">
      <c r="A15" s="44" t="s">
        <v>34</v>
      </c>
      <c r="B15" s="44">
        <v>3</v>
      </c>
      <c r="C15" s="44">
        <v>3</v>
      </c>
      <c r="D15" s="43">
        <f t="shared" si="0"/>
        <v>6</v>
      </c>
      <c r="E15" s="147">
        <f t="shared" si="1"/>
        <v>50</v>
      </c>
      <c r="F15" s="177">
        <f>38502.24-428.4</f>
        <v>38073.839999999997</v>
      </c>
      <c r="G15" s="177">
        <v>27962.49</v>
      </c>
      <c r="H15" s="87">
        <f t="shared" si="2"/>
        <v>66036.33</v>
      </c>
    </row>
    <row r="16" spans="1:8" x14ac:dyDescent="0.25">
      <c r="A16" s="44" t="s">
        <v>35</v>
      </c>
      <c r="B16" s="44">
        <v>58</v>
      </c>
      <c r="C16" s="44">
        <v>83</v>
      </c>
      <c r="D16" s="43">
        <f t="shared" si="0"/>
        <v>141</v>
      </c>
      <c r="E16" s="147">
        <f t="shared" si="1"/>
        <v>58.865248226950357</v>
      </c>
      <c r="F16" s="177">
        <f>623492.28+20000.6-20000</f>
        <v>623492.88</v>
      </c>
      <c r="G16" s="177">
        <f>817958.29+15037.43-25105.42</f>
        <v>807890.3</v>
      </c>
      <c r="H16" s="87">
        <f t="shared" si="2"/>
        <v>1431383.1800000002</v>
      </c>
    </row>
    <row r="17" spans="1:8" x14ac:dyDescent="0.25">
      <c r="A17" s="44" t="s">
        <v>36</v>
      </c>
      <c r="B17" s="44">
        <v>8</v>
      </c>
      <c r="C17" s="44">
        <v>3</v>
      </c>
      <c r="D17" s="43">
        <f t="shared" si="0"/>
        <v>11</v>
      </c>
      <c r="E17" s="147">
        <f t="shared" si="1"/>
        <v>27.272727272727273</v>
      </c>
      <c r="F17" s="177">
        <f>77301.37-450</f>
        <v>76851.37</v>
      </c>
      <c r="G17" s="177">
        <f>26360.33-335.39</f>
        <v>26024.940000000002</v>
      </c>
      <c r="H17" s="87">
        <f t="shared" si="2"/>
        <v>102876.31</v>
      </c>
    </row>
    <row r="18" spans="1:8" x14ac:dyDescent="0.25">
      <c r="A18" s="85" t="s">
        <v>107</v>
      </c>
      <c r="B18" s="146">
        <v>8</v>
      </c>
      <c r="C18" s="146">
        <v>5</v>
      </c>
      <c r="D18" s="43">
        <f t="shared" si="0"/>
        <v>13</v>
      </c>
      <c r="E18" s="147">
        <f t="shared" si="1"/>
        <v>38.46153846153846</v>
      </c>
      <c r="F18" s="177">
        <f>79704.7-15759.77</f>
        <v>63944.929999999993</v>
      </c>
      <c r="G18" s="177">
        <f>47359.6-15000</f>
        <v>32359.599999999999</v>
      </c>
      <c r="H18" s="87">
        <f t="shared" si="2"/>
        <v>96304.53</v>
      </c>
    </row>
    <row r="19" spans="1:8" x14ac:dyDescent="0.25">
      <c r="A19" s="44" t="s">
        <v>37</v>
      </c>
      <c r="B19" s="44">
        <v>9</v>
      </c>
      <c r="C19" s="44">
        <v>4</v>
      </c>
      <c r="D19" s="43">
        <f t="shared" si="0"/>
        <v>13</v>
      </c>
      <c r="E19" s="147">
        <f t="shared" si="1"/>
        <v>30.76923076923077</v>
      </c>
      <c r="F19" s="177">
        <f>94039.53-928.18</f>
        <v>93111.35</v>
      </c>
      <c r="G19" s="177">
        <v>33404.67</v>
      </c>
      <c r="H19" s="87">
        <f t="shared" si="2"/>
        <v>126516.02</v>
      </c>
    </row>
    <row r="20" spans="1:8" x14ac:dyDescent="0.25">
      <c r="A20" s="44" t="s">
        <v>38</v>
      </c>
      <c r="B20" s="44">
        <f>344+30</f>
        <v>374</v>
      </c>
      <c r="C20" s="44">
        <f>341+31</f>
        <v>372</v>
      </c>
      <c r="D20" s="43">
        <f t="shared" si="0"/>
        <v>746</v>
      </c>
      <c r="E20" s="147">
        <f t="shared" si="1"/>
        <v>49.865951742627345</v>
      </c>
      <c r="F20" s="177">
        <f>3126076-27013.98</f>
        <v>3099062.02</v>
      </c>
      <c r="G20" s="177">
        <f>3097011-27000</f>
        <v>3070011</v>
      </c>
      <c r="H20" s="87">
        <f t="shared" si="2"/>
        <v>6169073.0199999996</v>
      </c>
    </row>
    <row r="21" spans="1:8" x14ac:dyDescent="0.25">
      <c r="A21" s="44" t="s">
        <v>120</v>
      </c>
      <c r="B21" s="44">
        <f>SUM(B4:B20)</f>
        <v>563</v>
      </c>
      <c r="C21" s="44">
        <f>SUM(C4:C20)</f>
        <v>519</v>
      </c>
      <c r="D21" s="43">
        <f t="shared" si="0"/>
        <v>1082</v>
      </c>
      <c r="E21" s="147">
        <f t="shared" si="1"/>
        <v>47.966728280961185</v>
      </c>
      <c r="F21" s="98">
        <f>SUM(F4:F20)</f>
        <v>5014382.3182000006</v>
      </c>
      <c r="G21" s="98">
        <f>SUM(G4:G20)</f>
        <v>4454515.6655999999</v>
      </c>
      <c r="H21" s="98">
        <f>SUM(H4:H20)</f>
        <v>9468897.9988000002</v>
      </c>
    </row>
    <row r="25" spans="1:8" x14ac:dyDescent="0.25">
      <c r="A25" s="99" t="s">
        <v>117</v>
      </c>
      <c r="B25" s="99"/>
      <c r="C25" s="99"/>
      <c r="D25" s="99"/>
      <c r="E25" s="99"/>
      <c r="F25" s="100">
        <f>F21</f>
        <v>5014382.3182000006</v>
      </c>
    </row>
    <row r="26" spans="1:8" x14ac:dyDescent="0.25">
      <c r="A26" s="99" t="s">
        <v>118</v>
      </c>
      <c r="B26" s="99"/>
      <c r="C26" s="99"/>
      <c r="D26" s="99"/>
      <c r="E26" s="99"/>
      <c r="F26" s="100">
        <f>G21</f>
        <v>4454515.6655999999</v>
      </c>
    </row>
  </sheetData>
  <mergeCells count="7">
    <mergeCell ref="A2:A3"/>
    <mergeCell ref="F2:H2"/>
    <mergeCell ref="A1:H1"/>
    <mergeCell ref="E2:E3"/>
    <mergeCell ref="B2:B3"/>
    <mergeCell ref="C2:C3"/>
    <mergeCell ref="D2:D3"/>
  </mergeCells>
  <pageMargins left="0.7" right="0.7" top="0.75" bottom="0.75" header="0.3" footer="0.3"/>
  <pageSetup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7"/>
  <sheetViews>
    <sheetView topLeftCell="A26" zoomScaleNormal="100" workbookViewId="0">
      <selection activeCell="A2" sqref="A2:E41"/>
    </sheetView>
  </sheetViews>
  <sheetFormatPr defaultRowHeight="15" x14ac:dyDescent="0.25"/>
  <cols>
    <col min="1" max="1" width="10.28515625" customWidth="1"/>
    <col min="2" max="2" width="30.140625" customWidth="1"/>
    <col min="3" max="4" width="15.28515625" customWidth="1"/>
    <col min="5" max="5" width="15.85546875" customWidth="1"/>
    <col min="7" max="7" width="10" bestFit="1" customWidth="1"/>
  </cols>
  <sheetData>
    <row r="1" spans="1:5" ht="15.75" thickBot="1" x14ac:dyDescent="0.3">
      <c r="A1" s="46" t="s">
        <v>129</v>
      </c>
    </row>
    <row r="2" spans="1:5" ht="27" thickBot="1" x14ac:dyDescent="0.3">
      <c r="A2" s="65" t="s">
        <v>53</v>
      </c>
      <c r="B2" s="66" t="s">
        <v>54</v>
      </c>
      <c r="C2" s="66" t="s">
        <v>103</v>
      </c>
      <c r="D2" s="66" t="s">
        <v>104</v>
      </c>
      <c r="E2" s="66" t="s">
        <v>130</v>
      </c>
    </row>
    <row r="3" spans="1:5" ht="13.5" customHeight="1" thickBot="1" x14ac:dyDescent="0.3">
      <c r="A3" s="67" t="s">
        <v>55</v>
      </c>
      <c r="B3" s="68" t="s">
        <v>56</v>
      </c>
      <c r="C3" s="69">
        <f>C4+C5</f>
        <v>300000</v>
      </c>
      <c r="D3" s="69">
        <f>D4+D5</f>
        <v>318000</v>
      </c>
      <c r="E3" s="69">
        <f>E4+E5</f>
        <v>318000</v>
      </c>
    </row>
    <row r="4" spans="1:5" ht="15.75" thickBot="1" x14ac:dyDescent="0.3">
      <c r="A4" s="70">
        <v>50009</v>
      </c>
      <c r="B4" s="71" t="s">
        <v>57</v>
      </c>
      <c r="C4" s="72">
        <v>270000</v>
      </c>
      <c r="D4" s="72">
        <v>287000</v>
      </c>
      <c r="E4" s="72">
        <v>287000</v>
      </c>
    </row>
    <row r="5" spans="1:5" ht="15.75" thickBot="1" x14ac:dyDescent="0.3">
      <c r="A5" s="70">
        <v>50026</v>
      </c>
      <c r="B5" s="71" t="s">
        <v>222</v>
      </c>
      <c r="C5" s="72">
        <v>30000</v>
      </c>
      <c r="D5" s="72">
        <v>31000</v>
      </c>
      <c r="E5" s="72">
        <v>31000</v>
      </c>
    </row>
    <row r="6" spans="1:5" ht="15.75" thickBot="1" x14ac:dyDescent="0.3">
      <c r="A6" s="73" t="s">
        <v>58</v>
      </c>
      <c r="B6" s="74" t="s">
        <v>59</v>
      </c>
      <c r="C6" s="75">
        <f>C7+C8</f>
        <v>29000</v>
      </c>
      <c r="D6" s="75">
        <f t="shared" ref="D6" si="0">D7+D8</f>
        <v>30000</v>
      </c>
      <c r="E6" s="75">
        <f>E7+E8</f>
        <v>30000</v>
      </c>
    </row>
    <row r="7" spans="1:5" ht="15.75" thickBot="1" x14ac:dyDescent="0.3">
      <c r="A7" s="70">
        <v>50104</v>
      </c>
      <c r="B7" s="71" t="s">
        <v>60</v>
      </c>
      <c r="C7" s="72">
        <f>22000-5000</f>
        <v>17000</v>
      </c>
      <c r="D7" s="72">
        <f>22500-5000</f>
        <v>17500</v>
      </c>
      <c r="E7" s="72">
        <v>17500</v>
      </c>
    </row>
    <row r="8" spans="1:5" ht="15.75" thickBot="1" x14ac:dyDescent="0.3">
      <c r="A8" s="70">
        <v>50205</v>
      </c>
      <c r="B8" s="71" t="s">
        <v>61</v>
      </c>
      <c r="C8" s="72">
        <v>12000</v>
      </c>
      <c r="D8" s="72">
        <v>12500</v>
      </c>
      <c r="E8" s="72">
        <v>12500</v>
      </c>
    </row>
    <row r="9" spans="1:5" ht="15.75" thickBot="1" x14ac:dyDescent="0.3">
      <c r="A9" s="73" t="s">
        <v>62</v>
      </c>
      <c r="B9" s="74" t="s">
        <v>63</v>
      </c>
      <c r="C9" s="75">
        <f>C10+C11</f>
        <v>87000</v>
      </c>
      <c r="D9" s="75">
        <f>D10+D11</f>
        <v>93000</v>
      </c>
      <c r="E9" s="75">
        <f>E10+E11</f>
        <v>93000</v>
      </c>
    </row>
    <row r="10" spans="1:5" ht="15.75" thickBot="1" x14ac:dyDescent="0.3">
      <c r="A10" s="70">
        <v>50504</v>
      </c>
      <c r="B10" s="71" t="s">
        <v>64</v>
      </c>
      <c r="C10" s="72">
        <v>65000</v>
      </c>
      <c r="D10" s="72">
        <v>70000</v>
      </c>
      <c r="E10" s="72">
        <v>70000</v>
      </c>
    </row>
    <row r="11" spans="1:5" ht="15.75" thickBot="1" x14ac:dyDescent="0.3">
      <c r="A11" s="70">
        <v>50032</v>
      </c>
      <c r="B11" s="71" t="s">
        <v>223</v>
      </c>
      <c r="C11" s="72">
        <v>22000</v>
      </c>
      <c r="D11" s="72">
        <v>23000</v>
      </c>
      <c r="E11" s="72">
        <v>23000</v>
      </c>
    </row>
    <row r="12" spans="1:5" ht="15.75" thickBot="1" x14ac:dyDescent="0.3">
      <c r="A12" s="73" t="s">
        <v>65</v>
      </c>
      <c r="B12" s="74" t="s">
        <v>66</v>
      </c>
      <c r="C12" s="75">
        <f>C13+C14+C15+C16+C17+C18</f>
        <v>58850</v>
      </c>
      <c r="D12" s="75">
        <f t="shared" ref="D12:E12" si="1">D13+D14+D15+D16+D17+D18</f>
        <v>60539</v>
      </c>
      <c r="E12" s="75">
        <f t="shared" si="1"/>
        <v>60539</v>
      </c>
    </row>
    <row r="13" spans="1:5" ht="15.75" thickBot="1" x14ac:dyDescent="0.3">
      <c r="A13" s="70">
        <v>50013</v>
      </c>
      <c r="B13" s="71" t="s">
        <v>67</v>
      </c>
      <c r="C13" s="72">
        <v>800</v>
      </c>
      <c r="D13" s="72">
        <f>900-11</f>
        <v>889</v>
      </c>
      <c r="E13" s="72">
        <v>889</v>
      </c>
    </row>
    <row r="14" spans="1:5" ht="15.75" thickBot="1" x14ac:dyDescent="0.3">
      <c r="A14" s="70">
        <v>50014</v>
      </c>
      <c r="B14" s="71" t="s">
        <v>68</v>
      </c>
      <c r="C14" s="72">
        <v>50</v>
      </c>
      <c r="D14" s="72">
        <v>50</v>
      </c>
      <c r="E14" s="72">
        <v>50</v>
      </c>
    </row>
    <row r="15" spans="1:5" ht="15.75" thickBot="1" x14ac:dyDescent="0.3">
      <c r="A15" s="70">
        <v>50015</v>
      </c>
      <c r="B15" s="71" t="s">
        <v>69</v>
      </c>
      <c r="C15" s="72">
        <v>1000</v>
      </c>
      <c r="D15" s="72">
        <v>1000</v>
      </c>
      <c r="E15" s="72">
        <v>1000</v>
      </c>
    </row>
    <row r="16" spans="1:5" ht="15.75" thickBot="1" x14ac:dyDescent="0.3">
      <c r="A16" s="70">
        <v>50016</v>
      </c>
      <c r="B16" s="71" t="s">
        <v>70</v>
      </c>
      <c r="C16" s="72">
        <v>48000</v>
      </c>
      <c r="D16" s="72">
        <v>48500</v>
      </c>
      <c r="E16" s="72">
        <v>48500</v>
      </c>
    </row>
    <row r="17" spans="1:5" ht="15.75" thickBot="1" x14ac:dyDescent="0.3">
      <c r="A17" s="70">
        <v>50017</v>
      </c>
      <c r="B17" s="71" t="s">
        <v>71</v>
      </c>
      <c r="C17" s="72">
        <v>5000</v>
      </c>
      <c r="D17" s="72">
        <v>6000</v>
      </c>
      <c r="E17" s="72">
        <v>6000</v>
      </c>
    </row>
    <row r="18" spans="1:5" ht="15.75" thickBot="1" x14ac:dyDescent="0.3">
      <c r="A18" s="70">
        <v>50019</v>
      </c>
      <c r="B18" s="76" t="s">
        <v>72</v>
      </c>
      <c r="C18" s="72">
        <v>4000</v>
      </c>
      <c r="D18" s="72">
        <v>4100</v>
      </c>
      <c r="E18" s="72">
        <v>4100</v>
      </c>
    </row>
    <row r="19" spans="1:5" ht="15.75" thickBot="1" x14ac:dyDescent="0.3">
      <c r="A19" s="73" t="s">
        <v>73</v>
      </c>
      <c r="B19" s="68" t="s">
        <v>74</v>
      </c>
      <c r="C19" s="75">
        <f>C20+C21+C22+C23+C24+C25+C26+C27+C28</f>
        <v>948934</v>
      </c>
      <c r="D19" s="75">
        <f>D20+D21+D22+D23+D24+D25+D26+D27+D28</f>
        <v>1031072</v>
      </c>
      <c r="E19" s="75">
        <f>E20+E21+E22+E23+E24+E25+E26+E27+E28</f>
        <v>1037567</v>
      </c>
    </row>
    <row r="20" spans="1:5" ht="15.75" thickBot="1" x14ac:dyDescent="0.3">
      <c r="A20" s="70">
        <v>50103</v>
      </c>
      <c r="B20" s="76" t="s">
        <v>75</v>
      </c>
      <c r="C20" s="72">
        <v>1000</v>
      </c>
      <c r="D20" s="72">
        <v>1100</v>
      </c>
      <c r="E20" s="72">
        <v>1100</v>
      </c>
    </row>
    <row r="21" spans="1:5" ht="15.75" thickBot="1" x14ac:dyDescent="0.3">
      <c r="A21" s="70">
        <v>50217</v>
      </c>
      <c r="B21" s="71" t="s">
        <v>105</v>
      </c>
      <c r="C21" s="72">
        <f>78000+50+550</f>
        <v>78600</v>
      </c>
      <c r="D21" s="72">
        <f>80000+50+600</f>
        <v>80650</v>
      </c>
      <c r="E21" s="72">
        <v>80650</v>
      </c>
    </row>
    <row r="22" spans="1:5" ht="15.75" thickBot="1" x14ac:dyDescent="0.3">
      <c r="A22" s="70">
        <v>50001</v>
      </c>
      <c r="B22" s="71" t="s">
        <v>76</v>
      </c>
      <c r="C22" s="72">
        <v>110000</v>
      </c>
      <c r="D22" s="72">
        <v>117000</v>
      </c>
      <c r="E22" s="72">
        <v>117000</v>
      </c>
    </row>
    <row r="23" spans="1:5" ht="15.75" thickBot="1" x14ac:dyDescent="0.3">
      <c r="A23" s="70">
        <v>50407</v>
      </c>
      <c r="B23" s="71" t="s">
        <v>77</v>
      </c>
      <c r="C23" s="72">
        <f>26450+10000</f>
        <v>36450</v>
      </c>
      <c r="D23" s="72">
        <f>38000-2100+2000</f>
        <v>37900</v>
      </c>
      <c r="E23" s="72">
        <v>37900</v>
      </c>
    </row>
    <row r="24" spans="1:5" ht="15.75" thickBot="1" x14ac:dyDescent="0.3">
      <c r="A24" s="70">
        <v>50408</v>
      </c>
      <c r="B24" s="71" t="s">
        <v>78</v>
      </c>
      <c r="C24" s="72">
        <f>30000+10000+3000+1000+1000-4000</f>
        <v>41000</v>
      </c>
      <c r="D24" s="72">
        <f>41000+2500+3000-1000</f>
        <v>45500</v>
      </c>
      <c r="E24" s="72">
        <f>46500-1000</f>
        <v>45500</v>
      </c>
    </row>
    <row r="25" spans="1:5" ht="15.75" thickBot="1" x14ac:dyDescent="0.3">
      <c r="A25" s="70">
        <v>50403</v>
      </c>
      <c r="B25" s="71" t="s">
        <v>79</v>
      </c>
      <c r="C25" s="72">
        <v>5000</v>
      </c>
      <c r="D25" s="72">
        <v>5000</v>
      </c>
      <c r="E25" s="72">
        <v>5000</v>
      </c>
    </row>
    <row r="26" spans="1:5" ht="15.75" thickBot="1" x14ac:dyDescent="0.3">
      <c r="A26" s="70">
        <v>50405</v>
      </c>
      <c r="B26" s="71" t="s">
        <v>80</v>
      </c>
      <c r="C26" s="72">
        <v>13000</v>
      </c>
      <c r="D26" s="72">
        <f>16006-2500</f>
        <v>13506</v>
      </c>
      <c r="E26" s="72">
        <v>13506</v>
      </c>
    </row>
    <row r="27" spans="1:5" ht="15.75" thickBot="1" x14ac:dyDescent="0.3">
      <c r="A27" s="70">
        <v>40110</v>
      </c>
      <c r="B27" s="71" t="s">
        <v>81</v>
      </c>
      <c r="C27" s="72">
        <v>530059</v>
      </c>
      <c r="D27" s="72">
        <v>568488</v>
      </c>
      <c r="E27" s="72">
        <v>574173.5</v>
      </c>
    </row>
    <row r="28" spans="1:5" ht="15.75" thickBot="1" x14ac:dyDescent="0.3">
      <c r="A28" s="70">
        <v>40110</v>
      </c>
      <c r="B28" s="71" t="s">
        <v>82</v>
      </c>
      <c r="C28" s="72">
        <v>133825</v>
      </c>
      <c r="D28" s="72">
        <v>161928</v>
      </c>
      <c r="E28" s="72">
        <v>162737.5</v>
      </c>
    </row>
    <row r="29" spans="1:5" ht="15.75" thickBot="1" x14ac:dyDescent="0.3">
      <c r="A29" s="67" t="s">
        <v>224</v>
      </c>
      <c r="B29" s="74" t="s">
        <v>106</v>
      </c>
      <c r="C29" s="75">
        <f>C30</f>
        <v>6000</v>
      </c>
      <c r="D29" s="75">
        <f>D30</f>
        <v>7000</v>
      </c>
      <c r="E29" s="75">
        <f>E30</f>
        <v>7000</v>
      </c>
    </row>
    <row r="30" spans="1:5" ht="15.75" thickBot="1" x14ac:dyDescent="0.3">
      <c r="A30" s="70"/>
      <c r="B30" s="76" t="s">
        <v>225</v>
      </c>
      <c r="C30" s="72">
        <v>6000</v>
      </c>
      <c r="D30" s="72">
        <v>7000</v>
      </c>
      <c r="E30" s="72">
        <v>7000</v>
      </c>
    </row>
    <row r="31" spans="1:5" ht="15.75" thickBot="1" x14ac:dyDescent="0.3">
      <c r="A31" s="77" t="s">
        <v>83</v>
      </c>
      <c r="B31" s="78" t="s">
        <v>84</v>
      </c>
      <c r="C31" s="79">
        <f>C3+C6+C9+C12+C19+C29</f>
        <v>1429784</v>
      </c>
      <c r="D31" s="79">
        <f>D3+D6+D9+D12+D19+D29</f>
        <v>1539611</v>
      </c>
      <c r="E31" s="79">
        <f>E3+E6+E9+E12+E19+E29</f>
        <v>1546106</v>
      </c>
    </row>
    <row r="32" spans="1:5" ht="15.75" thickBot="1" x14ac:dyDescent="0.3">
      <c r="A32" s="80"/>
      <c r="B32" s="81" t="s">
        <v>85</v>
      </c>
      <c r="C32" s="82"/>
      <c r="D32" s="82"/>
      <c r="E32" s="82"/>
    </row>
    <row r="33" spans="1:7" ht="15.75" thickBot="1" x14ac:dyDescent="0.3">
      <c r="A33" s="80">
        <v>50409</v>
      </c>
      <c r="B33" s="71" t="s">
        <v>86</v>
      </c>
      <c r="C33" s="72">
        <v>25000</v>
      </c>
      <c r="D33" s="72">
        <v>25000</v>
      </c>
      <c r="E33" s="72">
        <v>25000</v>
      </c>
    </row>
    <row r="34" spans="1:7" ht="15.75" thickBot="1" x14ac:dyDescent="0.3">
      <c r="A34" s="80">
        <v>50409</v>
      </c>
      <c r="B34" s="71" t="s">
        <v>87</v>
      </c>
      <c r="C34" s="82"/>
      <c r="D34" s="82"/>
      <c r="E34" s="82"/>
    </row>
    <row r="35" spans="1:7" ht="15.75" thickBot="1" x14ac:dyDescent="0.3">
      <c r="A35" s="80">
        <v>50409</v>
      </c>
      <c r="B35" s="71" t="s">
        <v>88</v>
      </c>
      <c r="C35" s="72">
        <f>55000+4000</f>
        <v>59000</v>
      </c>
      <c r="D35" s="72">
        <f>58000+1000</f>
        <v>59000</v>
      </c>
      <c r="E35" s="72">
        <f>58000+1000</f>
        <v>59000</v>
      </c>
    </row>
    <row r="36" spans="1:7" ht="15.75" thickBot="1" x14ac:dyDescent="0.3">
      <c r="A36" s="77" t="s">
        <v>89</v>
      </c>
      <c r="B36" s="78" t="s">
        <v>90</v>
      </c>
      <c r="C36" s="79">
        <f>C33+C34+C35</f>
        <v>84000</v>
      </c>
      <c r="D36" s="79">
        <f>D33+D34+D35</f>
        <v>84000</v>
      </c>
      <c r="E36" s="79">
        <f>E33+E34+E35</f>
        <v>84000</v>
      </c>
    </row>
    <row r="37" spans="1:7" ht="15.75" thickBot="1" x14ac:dyDescent="0.3">
      <c r="A37" s="80"/>
      <c r="B37" s="81" t="s">
        <v>91</v>
      </c>
      <c r="C37" s="82"/>
      <c r="D37" s="82"/>
      <c r="E37" s="82"/>
    </row>
    <row r="38" spans="1:7" ht="15.75" thickBot="1" x14ac:dyDescent="0.3">
      <c r="A38" s="80">
        <v>50409</v>
      </c>
      <c r="B38" s="71" t="s">
        <v>92</v>
      </c>
      <c r="C38" s="72">
        <v>36000</v>
      </c>
      <c r="D38" s="72">
        <v>37000</v>
      </c>
      <c r="E38" s="72">
        <v>37000</v>
      </c>
    </row>
    <row r="39" spans="1:7" ht="15.75" thickBot="1" x14ac:dyDescent="0.3">
      <c r="A39" s="80">
        <v>50024</v>
      </c>
      <c r="B39" s="71" t="s">
        <v>226</v>
      </c>
      <c r="C39" s="72">
        <v>2000</v>
      </c>
      <c r="D39" s="72">
        <v>2100</v>
      </c>
      <c r="E39" s="72">
        <v>2100</v>
      </c>
    </row>
    <row r="40" spans="1:7" ht="15.75" thickBot="1" x14ac:dyDescent="0.3">
      <c r="A40" s="77" t="s">
        <v>93</v>
      </c>
      <c r="B40" s="78" t="s">
        <v>94</v>
      </c>
      <c r="C40" s="79">
        <f>C38+C39</f>
        <v>38000</v>
      </c>
      <c r="D40" s="79">
        <f>D38+D39</f>
        <v>39100</v>
      </c>
      <c r="E40" s="79">
        <f>E38+E39</f>
        <v>39100</v>
      </c>
    </row>
    <row r="41" spans="1:7" ht="15.75" thickBot="1" x14ac:dyDescent="0.3">
      <c r="A41" s="180" t="s">
        <v>95</v>
      </c>
      <c r="B41" s="181"/>
      <c r="C41" s="83">
        <f>C31+C36+C40</f>
        <v>1551784</v>
      </c>
      <c r="D41" s="83">
        <f>D31+D36+D40</f>
        <v>1662711</v>
      </c>
      <c r="E41" s="83">
        <f>E31+E36+E40</f>
        <v>1669206</v>
      </c>
      <c r="G41" s="41"/>
    </row>
    <row r="42" spans="1:7" x14ac:dyDescent="0.25">
      <c r="C42" s="41"/>
      <c r="D42" s="41"/>
      <c r="E42" s="41"/>
    </row>
    <row r="43" spans="1:7" x14ac:dyDescent="0.25">
      <c r="C43" s="41"/>
      <c r="D43" s="41"/>
      <c r="E43" s="41"/>
    </row>
    <row r="45" spans="1:7" x14ac:dyDescent="0.25">
      <c r="A45" t="s">
        <v>216</v>
      </c>
      <c r="B45" s="41">
        <f>C41</f>
        <v>1551784</v>
      </c>
    </row>
    <row r="46" spans="1:7" x14ac:dyDescent="0.25">
      <c r="A46" t="s">
        <v>217</v>
      </c>
      <c r="B46" s="41">
        <f>D41</f>
        <v>1662711</v>
      </c>
    </row>
    <row r="47" spans="1:7" x14ac:dyDescent="0.25">
      <c r="A47" t="s">
        <v>218</v>
      </c>
      <c r="B47" s="41">
        <f>E41</f>
        <v>1669206</v>
      </c>
    </row>
  </sheetData>
  <mergeCells count="1">
    <mergeCell ref="A41:B41"/>
  </mergeCells>
  <pageMargins left="0.7" right="0.7" top="0.75" bottom="0.75" header="0.3" footer="0.3"/>
  <pageSetup paperSize="9" orientation="portrait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opLeftCell="A10" zoomScaleNormal="100" workbookViewId="0">
      <selection activeCell="A2" sqref="A2:G13"/>
    </sheetView>
  </sheetViews>
  <sheetFormatPr defaultRowHeight="15" x14ac:dyDescent="0.25"/>
  <cols>
    <col min="1" max="1" width="4" customWidth="1"/>
    <col min="2" max="2" width="2.5703125" customWidth="1"/>
    <col min="3" max="3" width="21" customWidth="1"/>
    <col min="4" max="5" width="14.7109375" customWidth="1"/>
    <col min="6" max="6" width="14.5703125" customWidth="1"/>
    <col min="7" max="7" width="15" customWidth="1"/>
    <col min="9" max="9" width="9.85546875" bestFit="1" customWidth="1"/>
  </cols>
  <sheetData>
    <row r="1" spans="1:10" ht="15.75" thickBot="1" x14ac:dyDescent="0.3">
      <c r="A1" t="s">
        <v>40</v>
      </c>
    </row>
    <row r="2" spans="1:10" ht="45" customHeight="1" thickBot="1" x14ac:dyDescent="0.3">
      <c r="A2" s="4"/>
      <c r="B2" s="184" t="s">
        <v>6</v>
      </c>
      <c r="C2" s="184"/>
      <c r="D2" s="39">
        <v>2025</v>
      </c>
      <c r="E2" s="39" t="s">
        <v>126</v>
      </c>
      <c r="F2" s="39" t="s">
        <v>127</v>
      </c>
      <c r="G2" s="40" t="s">
        <v>128</v>
      </c>
    </row>
    <row r="3" spans="1:10" ht="16.5" thickBot="1" x14ac:dyDescent="0.3">
      <c r="A3" s="5"/>
      <c r="B3" s="182"/>
      <c r="C3" s="182"/>
      <c r="D3" s="7"/>
      <c r="E3" s="6"/>
      <c r="F3" s="6"/>
      <c r="G3" s="148"/>
    </row>
    <row r="4" spans="1:10" ht="42.75" customHeight="1" thickBot="1" x14ac:dyDescent="0.3">
      <c r="A4" s="36">
        <v>1</v>
      </c>
      <c r="B4" s="183" t="s">
        <v>7</v>
      </c>
      <c r="C4" s="183"/>
      <c r="D4" s="8">
        <f>D5+D6</f>
        <v>16168653</v>
      </c>
      <c r="E4" s="8">
        <f>E5+E6</f>
        <v>16338898</v>
      </c>
      <c r="F4" s="8">
        <f>F5+F6</f>
        <v>17130331</v>
      </c>
      <c r="G4" s="8">
        <f>G5+G6</f>
        <v>17939537</v>
      </c>
    </row>
    <row r="5" spans="1:10" ht="30" customHeight="1" thickBot="1" x14ac:dyDescent="0.3">
      <c r="A5" s="15">
        <v>1</v>
      </c>
      <c r="B5" s="16"/>
      <c r="C5" s="9" t="s">
        <v>8</v>
      </c>
      <c r="D5" s="17">
        <v>1495504</v>
      </c>
      <c r="E5" s="17">
        <v>1551784</v>
      </c>
      <c r="F5" s="17">
        <v>1662711</v>
      </c>
      <c r="G5" s="17">
        <v>1669206</v>
      </c>
      <c r="I5" s="41"/>
    </row>
    <row r="6" spans="1:10" ht="43.5" thickBot="1" x14ac:dyDescent="0.3">
      <c r="A6" s="18">
        <v>1</v>
      </c>
      <c r="B6" s="19"/>
      <c r="C6" s="10" t="s">
        <v>16</v>
      </c>
      <c r="D6" s="20">
        <v>14673149</v>
      </c>
      <c r="E6" s="20">
        <f>6571819+6180993+1884302+150000</f>
        <v>14787114</v>
      </c>
      <c r="F6" s="20">
        <f>6960367+6366422+1940831+200000</f>
        <v>15467620</v>
      </c>
      <c r="G6" s="20">
        <f>7513860+6557415+1999056+200000</f>
        <v>16270331</v>
      </c>
    </row>
    <row r="7" spans="1:10" ht="43.5" thickBot="1" x14ac:dyDescent="0.3">
      <c r="A7" s="37">
        <v>2</v>
      </c>
      <c r="B7" s="149"/>
      <c r="C7" s="38" t="s">
        <v>9</v>
      </c>
      <c r="D7" s="8">
        <f>D8+D13</f>
        <v>16168653</v>
      </c>
      <c r="E7" s="8">
        <f>E8+E13</f>
        <v>16338898</v>
      </c>
      <c r="F7" s="8">
        <f>F8+F13</f>
        <v>17130331</v>
      </c>
      <c r="G7" s="8">
        <f>G8+G13</f>
        <v>17939537</v>
      </c>
    </row>
    <row r="8" spans="1:10" ht="33" customHeight="1" thickBot="1" x14ac:dyDescent="0.3">
      <c r="A8" s="21">
        <v>2.1</v>
      </c>
      <c r="B8" s="22"/>
      <c r="C8" s="11" t="s">
        <v>10</v>
      </c>
      <c r="D8" s="12">
        <f>D9+D10+D11+D12</f>
        <v>11762032</v>
      </c>
      <c r="E8" s="12">
        <f>E9+E10+E11+E12</f>
        <v>12238898</v>
      </c>
      <c r="F8" s="12">
        <f>F9+F10+F11+F12</f>
        <v>12630331</v>
      </c>
      <c r="G8" s="12">
        <f>G9+G10+G11+G12</f>
        <v>13139537</v>
      </c>
    </row>
    <row r="9" spans="1:10" ht="26.25" customHeight="1" thickBot="1" x14ac:dyDescent="0.3">
      <c r="A9" s="23"/>
      <c r="B9" s="24"/>
      <c r="C9" s="13" t="s">
        <v>11</v>
      </c>
      <c r="D9" s="25">
        <v>8892032</v>
      </c>
      <c r="E9" s="26">
        <f>9659772-80000-110874</f>
        <v>9468898</v>
      </c>
      <c r="F9" s="26">
        <v>9709772</v>
      </c>
      <c r="G9" s="26">
        <v>9839537</v>
      </c>
      <c r="I9" s="41"/>
      <c r="J9" s="41"/>
    </row>
    <row r="10" spans="1:10" ht="27" customHeight="1" thickBot="1" x14ac:dyDescent="0.3">
      <c r="A10" s="27"/>
      <c r="B10" s="28"/>
      <c r="C10" s="14" t="s">
        <v>12</v>
      </c>
      <c r="D10" s="25">
        <v>1700000</v>
      </c>
      <c r="E10" s="26">
        <v>1600000</v>
      </c>
      <c r="F10" s="26">
        <v>1720559</v>
      </c>
      <c r="G10" s="26">
        <v>1800000</v>
      </c>
    </row>
    <row r="11" spans="1:10" ht="25.5" customHeight="1" thickBot="1" x14ac:dyDescent="0.3">
      <c r="A11" s="27"/>
      <c r="B11" s="28"/>
      <c r="C11" s="14" t="s">
        <v>13</v>
      </c>
      <c r="D11" s="25">
        <v>370000</v>
      </c>
      <c r="E11" s="26">
        <v>370000</v>
      </c>
      <c r="F11" s="26">
        <v>400000</v>
      </c>
      <c r="G11" s="26">
        <v>550000</v>
      </c>
      <c r="I11" s="41"/>
      <c r="J11" s="41"/>
    </row>
    <row r="12" spans="1:10" ht="27" customHeight="1" thickBot="1" x14ac:dyDescent="0.3">
      <c r="A12" s="30"/>
      <c r="B12" s="29"/>
      <c r="C12" s="14" t="s">
        <v>14</v>
      </c>
      <c r="D12" s="25">
        <v>800000</v>
      </c>
      <c r="E12" s="26">
        <v>800000</v>
      </c>
      <c r="F12" s="26">
        <v>800000</v>
      </c>
      <c r="G12" s="26">
        <v>950000</v>
      </c>
    </row>
    <row r="13" spans="1:10" ht="27" customHeight="1" thickBot="1" x14ac:dyDescent="0.3">
      <c r="A13" s="31">
        <v>2.2999999999999998</v>
      </c>
      <c r="B13" s="32"/>
      <c r="C13" s="11" t="s">
        <v>15</v>
      </c>
      <c r="D13" s="33">
        <v>4406621</v>
      </c>
      <c r="E13" s="34">
        <v>4100000</v>
      </c>
      <c r="F13" s="35">
        <v>4500000</v>
      </c>
      <c r="G13" s="35">
        <v>4800000</v>
      </c>
      <c r="I13" s="41"/>
      <c r="J13" s="41"/>
    </row>
    <row r="16" spans="1:10" ht="15.75" thickBot="1" x14ac:dyDescent="0.3">
      <c r="C16" s="13" t="s">
        <v>11</v>
      </c>
      <c r="D16" s="41">
        <f>E9</f>
        <v>9468898</v>
      </c>
    </row>
    <row r="17" spans="3:4" ht="15.75" thickBot="1" x14ac:dyDescent="0.3">
      <c r="C17" s="14" t="s">
        <v>12</v>
      </c>
      <c r="D17" s="41">
        <f>E10</f>
        <v>1600000</v>
      </c>
    </row>
    <row r="18" spans="3:4" ht="15.75" thickBot="1" x14ac:dyDescent="0.3">
      <c r="C18" s="14" t="s">
        <v>13</v>
      </c>
      <c r="D18" s="41">
        <f>E11</f>
        <v>370000</v>
      </c>
    </row>
    <row r="19" spans="3:4" ht="15.75" thickBot="1" x14ac:dyDescent="0.3">
      <c r="C19" s="14" t="s">
        <v>14</v>
      </c>
      <c r="D19" s="41">
        <f>E12</f>
        <v>800000</v>
      </c>
    </row>
    <row r="20" spans="3:4" ht="15.75" thickBot="1" x14ac:dyDescent="0.3">
      <c r="C20" s="11" t="s">
        <v>15</v>
      </c>
      <c r="D20" s="41">
        <f>E13</f>
        <v>4100000</v>
      </c>
    </row>
  </sheetData>
  <mergeCells count="3">
    <mergeCell ref="B3:C3"/>
    <mergeCell ref="B4:C4"/>
    <mergeCell ref="B2:C2"/>
  </mergeCells>
  <pageMargins left="0.7" right="0.7" top="0.75" bottom="0.75" header="0.3" footer="0.3"/>
  <pageSetup paperSize="9" scale="95" orientation="portrait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4"/>
  <sheetViews>
    <sheetView zoomScaleNormal="100" workbookViewId="0">
      <selection activeCell="A3" sqref="A3:H22"/>
    </sheetView>
  </sheetViews>
  <sheetFormatPr defaultRowHeight="15" x14ac:dyDescent="0.25"/>
  <cols>
    <col min="1" max="1" width="19.85546875" customWidth="1"/>
    <col min="2" max="2" width="10" customWidth="1"/>
    <col min="3" max="3" width="13.85546875" customWidth="1"/>
    <col min="4" max="4" width="16.28515625" customWidth="1"/>
    <col min="5" max="5" width="12.42578125" customWidth="1"/>
    <col min="6" max="6" width="11.28515625" customWidth="1"/>
    <col min="7" max="7" width="13.5703125" customWidth="1"/>
    <col min="8" max="8" width="14.28515625" customWidth="1"/>
  </cols>
  <sheetData>
    <row r="2" spans="1:8" x14ac:dyDescent="0.25">
      <c r="A2" s="106" t="s">
        <v>131</v>
      </c>
      <c r="B2" s="106"/>
    </row>
    <row r="3" spans="1:8" ht="15.75" customHeight="1" x14ac:dyDescent="0.25">
      <c r="A3" s="185" t="s">
        <v>17</v>
      </c>
      <c r="B3" s="116"/>
      <c r="C3" s="187">
        <v>2025</v>
      </c>
      <c r="D3" s="187"/>
      <c r="E3" s="187"/>
      <c r="F3" s="187"/>
      <c r="G3" s="187"/>
      <c r="H3" s="42"/>
    </row>
    <row r="4" spans="1:8" ht="26.25" x14ac:dyDescent="0.25">
      <c r="A4" s="186"/>
      <c r="B4" s="117" t="s">
        <v>132</v>
      </c>
      <c r="C4" s="42" t="s">
        <v>18</v>
      </c>
      <c r="D4" s="45" t="s">
        <v>19</v>
      </c>
      <c r="E4" s="45" t="s">
        <v>20</v>
      </c>
      <c r="F4" s="45" t="s">
        <v>21</v>
      </c>
      <c r="G4" s="42" t="s">
        <v>22</v>
      </c>
      <c r="H4" s="45" t="s">
        <v>23</v>
      </c>
    </row>
    <row r="5" spans="1:8" ht="15.75" customHeight="1" x14ac:dyDescent="0.25">
      <c r="A5" s="43" t="s">
        <v>24</v>
      </c>
      <c r="B5" s="43">
        <v>21</v>
      </c>
      <c r="C5" s="87">
        <v>237141</v>
      </c>
      <c r="D5" s="87">
        <v>16000</v>
      </c>
      <c r="E5" s="87"/>
      <c r="F5" s="87">
        <v>295000</v>
      </c>
      <c r="G5" s="86"/>
      <c r="H5" s="87">
        <f>C5+D5+E5+F5+G5</f>
        <v>548141</v>
      </c>
    </row>
    <row r="6" spans="1:8" ht="25.5" customHeight="1" x14ac:dyDescent="0.25">
      <c r="A6" s="43" t="s">
        <v>25</v>
      </c>
      <c r="B6" s="43">
        <v>27</v>
      </c>
      <c r="C6" s="87">
        <v>261547</v>
      </c>
      <c r="D6" s="87">
        <v>5000</v>
      </c>
      <c r="E6" s="87"/>
      <c r="F6" s="87"/>
      <c r="G6" s="86"/>
      <c r="H6" s="87">
        <f t="shared" ref="H6:H21" si="0">C6+D6+E6+F6+G6</f>
        <v>266547</v>
      </c>
    </row>
    <row r="7" spans="1:8" ht="25.5" customHeight="1" x14ac:dyDescent="0.25">
      <c r="A7" s="43" t="s">
        <v>26</v>
      </c>
      <c r="B7" s="43">
        <v>38</v>
      </c>
      <c r="C7" s="87">
        <v>264638</v>
      </c>
      <c r="D7" s="87">
        <v>80000</v>
      </c>
      <c r="E7" s="87"/>
      <c r="F7" s="87"/>
      <c r="G7" s="86">
        <v>40000</v>
      </c>
      <c r="H7" s="87">
        <f t="shared" si="0"/>
        <v>384638</v>
      </c>
    </row>
    <row r="8" spans="1:8" ht="19.5" customHeight="1" x14ac:dyDescent="0.25">
      <c r="A8" s="43" t="s">
        <v>39</v>
      </c>
      <c r="B8" s="43">
        <v>1</v>
      </c>
      <c r="C8" s="87">
        <v>9393</v>
      </c>
      <c r="D8" s="87">
        <v>500</v>
      </c>
      <c r="E8" s="87"/>
      <c r="F8" s="87">
        <v>4000</v>
      </c>
      <c r="G8" s="86"/>
      <c r="H8" s="87">
        <f t="shared" si="0"/>
        <v>13893</v>
      </c>
    </row>
    <row r="9" spans="1:8" ht="15.75" customHeight="1" x14ac:dyDescent="0.25">
      <c r="A9" s="43" t="s">
        <v>27</v>
      </c>
      <c r="B9" s="43">
        <v>8</v>
      </c>
      <c r="C9" s="87">
        <v>75812</v>
      </c>
      <c r="D9" s="87">
        <v>32000</v>
      </c>
      <c r="E9" s="87"/>
      <c r="F9" s="87"/>
      <c r="G9" s="86"/>
      <c r="H9" s="87">
        <f t="shared" si="0"/>
        <v>107812</v>
      </c>
    </row>
    <row r="10" spans="1:8" ht="15.75" customHeight="1" x14ac:dyDescent="0.25">
      <c r="A10" s="43" t="s">
        <v>28</v>
      </c>
      <c r="B10" s="43">
        <v>21</v>
      </c>
      <c r="C10" s="87">
        <v>174628</v>
      </c>
      <c r="D10" s="87">
        <v>47137</v>
      </c>
      <c r="E10" s="87">
        <v>242000</v>
      </c>
      <c r="F10" s="87"/>
      <c r="G10" s="86"/>
      <c r="H10" s="87">
        <f t="shared" si="0"/>
        <v>463765</v>
      </c>
    </row>
    <row r="11" spans="1:8" ht="25.5" customHeight="1" x14ac:dyDescent="0.25">
      <c r="A11" s="43" t="s">
        <v>29</v>
      </c>
      <c r="B11" s="43">
        <v>3</v>
      </c>
      <c r="C11" s="87">
        <v>29037</v>
      </c>
      <c r="D11" s="87">
        <v>395692</v>
      </c>
      <c r="E11" s="87"/>
      <c r="F11" s="87"/>
      <c r="G11" s="86">
        <v>653000</v>
      </c>
      <c r="H11" s="87">
        <f t="shared" si="0"/>
        <v>1077729</v>
      </c>
    </row>
    <row r="12" spans="1:8" ht="27" customHeight="1" x14ac:dyDescent="0.25">
      <c r="A12" s="43" t="s">
        <v>30</v>
      </c>
      <c r="B12" s="43">
        <v>15</v>
      </c>
      <c r="C12" s="87">
        <v>156501</v>
      </c>
      <c r="D12" s="87">
        <v>15000</v>
      </c>
      <c r="E12" s="87"/>
      <c r="F12" s="87"/>
      <c r="G12" s="86"/>
      <c r="H12" s="87">
        <f t="shared" si="0"/>
        <v>171501</v>
      </c>
    </row>
    <row r="13" spans="1:8" ht="25.5" customHeight="1" x14ac:dyDescent="0.25">
      <c r="A13" s="43" t="s">
        <v>31</v>
      </c>
      <c r="B13" s="43">
        <v>4</v>
      </c>
      <c r="C13" s="87">
        <v>34186</v>
      </c>
      <c r="D13" s="87">
        <v>5000</v>
      </c>
      <c r="E13" s="87"/>
      <c r="F13" s="87"/>
      <c r="G13" s="86"/>
      <c r="H13" s="87">
        <f t="shared" si="0"/>
        <v>39186</v>
      </c>
    </row>
    <row r="14" spans="1:8" ht="15" customHeight="1" x14ac:dyDescent="0.25">
      <c r="A14" s="43" t="s">
        <v>32</v>
      </c>
      <c r="B14" s="43">
        <v>5</v>
      </c>
      <c r="C14" s="87">
        <v>48362</v>
      </c>
      <c r="D14" s="87">
        <v>13000</v>
      </c>
      <c r="E14" s="87"/>
      <c r="F14" s="87">
        <v>231000</v>
      </c>
      <c r="G14" s="86">
        <v>140000</v>
      </c>
      <c r="H14" s="87">
        <f t="shared" si="0"/>
        <v>432362</v>
      </c>
    </row>
    <row r="15" spans="1:8" ht="25.5" customHeight="1" x14ac:dyDescent="0.25">
      <c r="A15" s="43" t="s">
        <v>33</v>
      </c>
      <c r="B15" s="43">
        <v>9</v>
      </c>
      <c r="C15" s="87">
        <v>71730</v>
      </c>
      <c r="D15" s="87">
        <v>15000</v>
      </c>
      <c r="E15" s="87"/>
      <c r="F15" s="87"/>
      <c r="G15" s="86">
        <v>12000</v>
      </c>
      <c r="H15" s="87">
        <f t="shared" si="0"/>
        <v>98730</v>
      </c>
    </row>
    <row r="16" spans="1:8" ht="25.5" customHeight="1" x14ac:dyDescent="0.25">
      <c r="A16" s="44" t="s">
        <v>34</v>
      </c>
      <c r="B16" s="44">
        <v>6</v>
      </c>
      <c r="C16" s="87">
        <v>60113</v>
      </c>
      <c r="D16" s="87">
        <v>63200</v>
      </c>
      <c r="E16" s="87"/>
      <c r="F16" s="87"/>
      <c r="G16" s="86">
        <v>2971621</v>
      </c>
      <c r="H16" s="87">
        <f t="shared" si="0"/>
        <v>3094934</v>
      </c>
    </row>
    <row r="17" spans="1:8" ht="19.5" customHeight="1" x14ac:dyDescent="0.25">
      <c r="A17" s="44" t="s">
        <v>35</v>
      </c>
      <c r="B17" s="44">
        <v>143</v>
      </c>
      <c r="C17" s="87">
        <v>1430970</v>
      </c>
      <c r="D17" s="87">
        <v>450000</v>
      </c>
      <c r="E17" s="87">
        <v>43000</v>
      </c>
      <c r="F17" s="86"/>
      <c r="G17" s="86">
        <v>70000</v>
      </c>
      <c r="H17" s="87">
        <f t="shared" si="0"/>
        <v>1993970</v>
      </c>
    </row>
    <row r="18" spans="1:8" ht="15.75" customHeight="1" x14ac:dyDescent="0.25">
      <c r="A18" s="44" t="s">
        <v>36</v>
      </c>
      <c r="B18" s="44">
        <v>11</v>
      </c>
      <c r="C18" s="87">
        <v>90104</v>
      </c>
      <c r="D18" s="87">
        <v>12000</v>
      </c>
      <c r="E18" s="87">
        <v>5000</v>
      </c>
      <c r="F18" s="87"/>
      <c r="G18" s="86"/>
      <c r="H18" s="87">
        <f t="shared" si="0"/>
        <v>107104</v>
      </c>
    </row>
    <row r="19" spans="1:8" ht="25.9" customHeight="1" x14ac:dyDescent="0.25">
      <c r="A19" s="44" t="s">
        <v>107</v>
      </c>
      <c r="B19" s="44">
        <v>13</v>
      </c>
      <c r="C19" s="87">
        <v>71000</v>
      </c>
      <c r="D19" s="87">
        <v>45000</v>
      </c>
      <c r="E19" s="87">
        <v>5000</v>
      </c>
      <c r="F19" s="87"/>
      <c r="G19" s="86">
        <v>260000</v>
      </c>
      <c r="H19" s="87">
        <f>C19+D19+E19+F19+G19</f>
        <v>381000</v>
      </c>
    </row>
    <row r="20" spans="1:8" ht="15.75" customHeight="1" x14ac:dyDescent="0.25">
      <c r="A20" s="44" t="s">
        <v>37</v>
      </c>
      <c r="B20" s="44">
        <v>13</v>
      </c>
      <c r="C20" s="87">
        <v>101650</v>
      </c>
      <c r="D20" s="87">
        <v>48000</v>
      </c>
      <c r="E20" s="87"/>
      <c r="F20" s="87">
        <v>120000</v>
      </c>
      <c r="G20" s="86">
        <v>50000</v>
      </c>
      <c r="H20" s="87">
        <f t="shared" si="0"/>
        <v>319650</v>
      </c>
    </row>
    <row r="21" spans="1:8" ht="25.5" customHeight="1" x14ac:dyDescent="0.25">
      <c r="A21" s="44" t="s">
        <v>38</v>
      </c>
      <c r="B21" s="44">
        <v>647</v>
      </c>
      <c r="C21" s="87">
        <v>5775219</v>
      </c>
      <c r="D21" s="87">
        <v>457471</v>
      </c>
      <c r="E21" s="87">
        <v>75000</v>
      </c>
      <c r="F21" s="87">
        <v>150000</v>
      </c>
      <c r="G21" s="86">
        <v>210000</v>
      </c>
      <c r="H21" s="87">
        <f t="shared" si="0"/>
        <v>6667690</v>
      </c>
    </row>
    <row r="22" spans="1:8" s="105" customFormat="1" ht="27" customHeight="1" x14ac:dyDescent="0.25">
      <c r="A22" s="172" t="s">
        <v>120</v>
      </c>
      <c r="B22" s="172">
        <f>SUM(B5:B21)</f>
        <v>985</v>
      </c>
      <c r="C22" s="173">
        <f t="shared" ref="C22:H22" si="1">SUM(C5:C21)</f>
        <v>8892031</v>
      </c>
      <c r="D22" s="173">
        <f t="shared" si="1"/>
        <v>1700000</v>
      </c>
      <c r="E22" s="173">
        <f t="shared" si="1"/>
        <v>370000</v>
      </c>
      <c r="F22" s="173">
        <f t="shared" si="1"/>
        <v>800000</v>
      </c>
      <c r="G22" s="173">
        <f t="shared" si="1"/>
        <v>4406621</v>
      </c>
      <c r="H22" s="173">
        <f t="shared" si="1"/>
        <v>16168652</v>
      </c>
    </row>
    <row r="24" spans="1:8" x14ac:dyDescent="0.25">
      <c r="C24" s="3"/>
    </row>
  </sheetData>
  <mergeCells count="2">
    <mergeCell ref="A3:A4"/>
    <mergeCell ref="C3:G3"/>
  </mergeCells>
  <pageMargins left="0.11811023622047245" right="0.11811023622047245" top="0.74803149606299213" bottom="0.74803149606299213" header="0.31496062992125984" footer="0.31496062992125984"/>
  <pageSetup paperSize="9" orientation="portrait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5"/>
  <sheetViews>
    <sheetView zoomScale="82" zoomScaleNormal="82" workbookViewId="0">
      <selection activeCell="A2" sqref="A2:H22"/>
    </sheetView>
  </sheetViews>
  <sheetFormatPr defaultRowHeight="15" x14ac:dyDescent="0.25"/>
  <cols>
    <col min="1" max="1" width="19.85546875" customWidth="1"/>
    <col min="2" max="2" width="10" customWidth="1"/>
    <col min="3" max="3" width="13.85546875" customWidth="1"/>
    <col min="4" max="4" width="16.28515625" customWidth="1"/>
    <col min="5" max="5" width="12.42578125" customWidth="1"/>
    <col min="6" max="6" width="12.7109375" customWidth="1"/>
    <col min="7" max="7" width="13.5703125" customWidth="1"/>
    <col min="8" max="8" width="14.28515625" customWidth="1"/>
  </cols>
  <sheetData>
    <row r="2" spans="1:8" x14ac:dyDescent="0.25">
      <c r="A2" s="106" t="s">
        <v>133</v>
      </c>
      <c r="B2" s="106"/>
    </row>
    <row r="3" spans="1:8" ht="15.75" customHeight="1" x14ac:dyDescent="0.25">
      <c r="A3" s="185" t="s">
        <v>17</v>
      </c>
      <c r="B3" s="185" t="s">
        <v>132</v>
      </c>
      <c r="C3" s="187">
        <v>2026</v>
      </c>
      <c r="D3" s="187"/>
      <c r="E3" s="187"/>
      <c r="F3" s="187"/>
      <c r="G3" s="187"/>
      <c r="H3" s="42"/>
    </row>
    <row r="4" spans="1:8" ht="26.25" x14ac:dyDescent="0.25">
      <c r="A4" s="186"/>
      <c r="B4" s="186"/>
      <c r="C4" s="42" t="s">
        <v>18</v>
      </c>
      <c r="D4" s="45" t="s">
        <v>19</v>
      </c>
      <c r="E4" s="45" t="s">
        <v>20</v>
      </c>
      <c r="F4" s="45" t="s">
        <v>21</v>
      </c>
      <c r="G4" s="42" t="s">
        <v>22</v>
      </c>
      <c r="H4" s="45" t="s">
        <v>23</v>
      </c>
    </row>
    <row r="5" spans="1:8" ht="15.75" customHeight="1" x14ac:dyDescent="0.25">
      <c r="A5" s="43" t="s">
        <v>24</v>
      </c>
      <c r="B5" s="43">
        <v>21</v>
      </c>
      <c r="C5" s="87">
        <v>236819.394</v>
      </c>
      <c r="D5" s="87">
        <v>16000</v>
      </c>
      <c r="E5" s="87"/>
      <c r="F5" s="87">
        <f>295000-3000</f>
        <v>292000</v>
      </c>
      <c r="G5" s="86"/>
      <c r="H5" s="87">
        <f>C5+D5+E5+F5+G5</f>
        <v>544819.39399999997</v>
      </c>
    </row>
    <row r="6" spans="1:8" ht="25.5" customHeight="1" x14ac:dyDescent="0.25">
      <c r="A6" s="43" t="s">
        <v>25</v>
      </c>
      <c r="B6" s="43">
        <v>27</v>
      </c>
      <c r="C6" s="87">
        <v>257364.58500000002</v>
      </c>
      <c r="D6" s="87">
        <v>5000</v>
      </c>
      <c r="E6" s="87"/>
      <c r="F6" s="87"/>
      <c r="G6" s="86"/>
      <c r="H6" s="87">
        <f t="shared" ref="H6:H21" si="0">C6+D6+E6+F6+G6</f>
        <v>262364.58500000002</v>
      </c>
    </row>
    <row r="7" spans="1:8" ht="25.5" customHeight="1" x14ac:dyDescent="0.25">
      <c r="A7" s="43" t="s">
        <v>26</v>
      </c>
      <c r="B7" s="43">
        <v>38</v>
      </c>
      <c r="C7" s="87">
        <v>329512.59389999998</v>
      </c>
      <c r="D7" s="87">
        <v>80000</v>
      </c>
      <c r="E7" s="87"/>
      <c r="F7" s="87"/>
      <c r="G7" s="86">
        <v>55000</v>
      </c>
      <c r="H7" s="87">
        <f t="shared" si="0"/>
        <v>464512.59389999998</v>
      </c>
    </row>
    <row r="8" spans="1:8" ht="19.5" customHeight="1" x14ac:dyDescent="0.25">
      <c r="A8" s="43" t="s">
        <v>39</v>
      </c>
      <c r="B8" s="43">
        <v>1</v>
      </c>
      <c r="C8" s="87">
        <v>9906.7605000000003</v>
      </c>
      <c r="D8" s="87">
        <v>500</v>
      </c>
      <c r="E8" s="87"/>
      <c r="F8" s="87">
        <v>4000</v>
      </c>
      <c r="G8" s="86"/>
      <c r="H8" s="87">
        <f t="shared" si="0"/>
        <v>14406.7605</v>
      </c>
    </row>
    <row r="9" spans="1:8" ht="15.75" customHeight="1" x14ac:dyDescent="0.25">
      <c r="A9" s="43" t="s">
        <v>27</v>
      </c>
      <c r="B9" s="43">
        <v>8</v>
      </c>
      <c r="C9" s="87">
        <v>91823.094299999997</v>
      </c>
      <c r="D9" s="87">
        <v>32000</v>
      </c>
      <c r="E9" s="87"/>
      <c r="F9" s="87"/>
      <c r="G9" s="86"/>
      <c r="H9" s="87">
        <f t="shared" si="0"/>
        <v>123823.0943</v>
      </c>
    </row>
    <row r="10" spans="1:8" ht="15.75" customHeight="1" x14ac:dyDescent="0.25">
      <c r="A10" s="43" t="s">
        <v>28</v>
      </c>
      <c r="B10" s="43">
        <v>21</v>
      </c>
      <c r="C10" s="87">
        <v>197592.3621</v>
      </c>
      <c r="D10" s="87">
        <v>47137</v>
      </c>
      <c r="E10" s="87">
        <v>242000</v>
      </c>
      <c r="F10" s="87"/>
      <c r="G10" s="86"/>
      <c r="H10" s="87">
        <f t="shared" si="0"/>
        <v>486729.36210000003</v>
      </c>
    </row>
    <row r="11" spans="1:8" ht="25.5" customHeight="1" x14ac:dyDescent="0.25">
      <c r="A11" s="43" t="s">
        <v>29</v>
      </c>
      <c r="B11" s="43">
        <v>3</v>
      </c>
      <c r="C11" s="87">
        <v>31389.3027</v>
      </c>
      <c r="D11" s="87">
        <v>395692</v>
      </c>
      <c r="E11" s="87"/>
      <c r="F11" s="87"/>
      <c r="G11" s="86">
        <v>645000</v>
      </c>
      <c r="H11" s="87">
        <f t="shared" si="0"/>
        <v>1072081.3026999999</v>
      </c>
    </row>
    <row r="12" spans="1:8" ht="27" customHeight="1" x14ac:dyDescent="0.25">
      <c r="A12" s="43" t="s">
        <v>30</v>
      </c>
      <c r="B12" s="43">
        <v>15</v>
      </c>
      <c r="C12" s="87">
        <v>141642.9945</v>
      </c>
      <c r="D12" s="87">
        <v>15000</v>
      </c>
      <c r="E12" s="87"/>
      <c r="F12" s="87"/>
      <c r="G12" s="86"/>
      <c r="H12" s="87">
        <f t="shared" si="0"/>
        <v>156642.9945</v>
      </c>
    </row>
    <row r="13" spans="1:8" ht="25.5" customHeight="1" x14ac:dyDescent="0.25">
      <c r="A13" s="43" t="s">
        <v>31</v>
      </c>
      <c r="B13" s="43">
        <v>4</v>
      </c>
      <c r="C13" s="87">
        <v>38988.719700000001</v>
      </c>
      <c r="D13" s="87">
        <v>1000</v>
      </c>
      <c r="E13" s="87"/>
      <c r="F13" s="87">
        <v>3000</v>
      </c>
      <c r="G13" s="86"/>
      <c r="H13" s="87">
        <f t="shared" si="0"/>
        <v>42988.719700000001</v>
      </c>
    </row>
    <row r="14" spans="1:8" ht="15" customHeight="1" x14ac:dyDescent="0.25">
      <c r="A14" s="43" t="s">
        <v>32</v>
      </c>
      <c r="B14" s="43">
        <v>5</v>
      </c>
      <c r="C14" s="87">
        <v>53587.436699999998</v>
      </c>
      <c r="D14" s="87">
        <v>10000</v>
      </c>
      <c r="E14" s="87"/>
      <c r="F14" s="87">
        <v>231000</v>
      </c>
      <c r="G14" s="86">
        <v>130000</v>
      </c>
      <c r="H14" s="87">
        <f t="shared" si="0"/>
        <v>424587.43670000002</v>
      </c>
    </row>
    <row r="15" spans="1:8" ht="25.5" customHeight="1" x14ac:dyDescent="0.25">
      <c r="A15" s="43" t="s">
        <v>33</v>
      </c>
      <c r="B15" s="43">
        <v>9</v>
      </c>
      <c r="C15" s="87">
        <v>88081.358399999997</v>
      </c>
      <c r="D15" s="87">
        <v>10000</v>
      </c>
      <c r="E15" s="87"/>
      <c r="F15" s="87"/>
      <c r="G15" s="86"/>
      <c r="H15" s="87">
        <f t="shared" si="0"/>
        <v>98081.358399999997</v>
      </c>
    </row>
    <row r="16" spans="1:8" ht="25.5" customHeight="1" x14ac:dyDescent="0.25">
      <c r="A16" s="44" t="s">
        <v>34</v>
      </c>
      <c r="B16" s="44">
        <v>6</v>
      </c>
      <c r="C16" s="87">
        <v>66036.329100000003</v>
      </c>
      <c r="D16" s="87">
        <v>63200</v>
      </c>
      <c r="E16" s="87"/>
      <c r="F16" s="87"/>
      <c r="G16" s="86">
        <v>2960000</v>
      </c>
      <c r="H16" s="87">
        <f t="shared" si="0"/>
        <v>3089236.3291000002</v>
      </c>
    </row>
    <row r="17" spans="1:8" ht="19.5" customHeight="1" x14ac:dyDescent="0.25">
      <c r="A17" s="44" t="s">
        <v>35</v>
      </c>
      <c r="B17" s="44">
        <v>141</v>
      </c>
      <c r="C17" s="87">
        <v>1431383.1777000001</v>
      </c>
      <c r="D17" s="87">
        <v>450000</v>
      </c>
      <c r="E17" s="87">
        <v>43000</v>
      </c>
      <c r="F17" s="86"/>
      <c r="G17" s="86">
        <v>70000</v>
      </c>
      <c r="H17" s="87">
        <f t="shared" si="0"/>
        <v>1994383.1777000001</v>
      </c>
    </row>
    <row r="18" spans="1:8" ht="15.75" customHeight="1" x14ac:dyDescent="0.25">
      <c r="A18" s="44" t="s">
        <v>36</v>
      </c>
      <c r="B18" s="44">
        <v>11</v>
      </c>
      <c r="C18" s="87">
        <v>102876.31200000001</v>
      </c>
      <c r="D18" s="87">
        <v>12000</v>
      </c>
      <c r="E18" s="87">
        <v>5000</v>
      </c>
      <c r="F18" s="87"/>
      <c r="G18" s="86"/>
      <c r="H18" s="87">
        <f t="shared" si="0"/>
        <v>119876.31200000001</v>
      </c>
    </row>
    <row r="19" spans="1:8" ht="25.9" customHeight="1" x14ac:dyDescent="0.25">
      <c r="A19" s="44" t="s">
        <v>107</v>
      </c>
      <c r="B19" s="44">
        <v>13</v>
      </c>
      <c r="C19" s="87">
        <v>96304.532000000007</v>
      </c>
      <c r="D19" s="87">
        <v>45000</v>
      </c>
      <c r="E19" s="87">
        <v>5000</v>
      </c>
      <c r="F19" s="87"/>
      <c r="G19" s="86">
        <v>20000</v>
      </c>
      <c r="H19" s="87">
        <f>C19+D19+E19+F19+G19</f>
        <v>166304.53200000001</v>
      </c>
    </row>
    <row r="20" spans="1:8" ht="15.75" customHeight="1" x14ac:dyDescent="0.25">
      <c r="A20" s="44" t="s">
        <v>37</v>
      </c>
      <c r="B20" s="44">
        <v>13</v>
      </c>
      <c r="C20" s="87">
        <v>126516.0246</v>
      </c>
      <c r="D20" s="87">
        <v>48000</v>
      </c>
      <c r="E20" s="87"/>
      <c r="F20" s="87">
        <v>120000</v>
      </c>
      <c r="G20" s="86">
        <v>40000</v>
      </c>
      <c r="H20" s="87">
        <f t="shared" si="0"/>
        <v>334516.0246</v>
      </c>
    </row>
    <row r="21" spans="1:8" ht="25.5" customHeight="1" x14ac:dyDescent="0.25">
      <c r="A21" s="44" t="s">
        <v>38</v>
      </c>
      <c r="B21" s="44">
        <f>647+99</f>
        <v>746</v>
      </c>
      <c r="C21" s="87">
        <v>6169073.0201999992</v>
      </c>
      <c r="D21" s="87">
        <f>457471-88000</f>
        <v>369471</v>
      </c>
      <c r="E21" s="87">
        <v>75000</v>
      </c>
      <c r="F21" s="87">
        <v>150000</v>
      </c>
      <c r="G21" s="86">
        <v>180000</v>
      </c>
      <c r="H21" s="87">
        <f t="shared" si="0"/>
        <v>6943544.0201999992</v>
      </c>
    </row>
    <row r="22" spans="1:8" s="105" customFormat="1" ht="27" customHeight="1" x14ac:dyDescent="0.25">
      <c r="A22" s="172" t="s">
        <v>120</v>
      </c>
      <c r="B22" s="172">
        <f>SUM(B5:B21)</f>
        <v>1082</v>
      </c>
      <c r="C22" s="173">
        <f t="shared" ref="C22:H22" si="1">SUM(C5:C21)</f>
        <v>9468897.9973999988</v>
      </c>
      <c r="D22" s="173">
        <f t="shared" si="1"/>
        <v>1600000</v>
      </c>
      <c r="E22" s="173">
        <f t="shared" si="1"/>
        <v>370000</v>
      </c>
      <c r="F22" s="173">
        <f t="shared" si="1"/>
        <v>800000</v>
      </c>
      <c r="G22" s="173">
        <f t="shared" si="1"/>
        <v>4100000</v>
      </c>
      <c r="H22" s="173">
        <f t="shared" si="1"/>
        <v>16338897.997399999</v>
      </c>
    </row>
    <row r="23" spans="1:8" x14ac:dyDescent="0.25">
      <c r="C23" s="171"/>
    </row>
    <row r="24" spans="1:8" x14ac:dyDescent="0.25">
      <c r="C24" s="3"/>
    </row>
    <row r="25" spans="1:8" x14ac:dyDescent="0.25">
      <c r="C25" s="3"/>
    </row>
  </sheetData>
  <mergeCells count="3">
    <mergeCell ref="A3:A4"/>
    <mergeCell ref="C3:G3"/>
    <mergeCell ref="B3:B4"/>
  </mergeCells>
  <pageMargins left="0.11811023622047245" right="0.11811023622047245" top="0.74803149606299213" bottom="0.74803149606299213" header="0.31496062992125984" footer="0.31496062992125984"/>
  <pageSetup paperSize="9" orientation="portrait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4"/>
  <sheetViews>
    <sheetView zoomScaleNormal="100" workbookViewId="0">
      <selection activeCell="A2" sqref="A2:H22"/>
    </sheetView>
  </sheetViews>
  <sheetFormatPr defaultRowHeight="15" x14ac:dyDescent="0.25"/>
  <cols>
    <col min="1" max="1" width="19.85546875" customWidth="1"/>
    <col min="2" max="2" width="10" customWidth="1"/>
    <col min="3" max="3" width="13.85546875" customWidth="1"/>
    <col min="4" max="4" width="16.28515625" customWidth="1"/>
    <col min="5" max="5" width="12.42578125" customWidth="1"/>
    <col min="6" max="6" width="11.28515625" customWidth="1"/>
    <col min="7" max="7" width="13.5703125" customWidth="1"/>
    <col min="8" max="8" width="14.28515625" customWidth="1"/>
  </cols>
  <sheetData>
    <row r="2" spans="1:8" x14ac:dyDescent="0.25">
      <c r="A2" s="106" t="s">
        <v>134</v>
      </c>
      <c r="B2" s="106"/>
    </row>
    <row r="3" spans="1:8" ht="15.75" customHeight="1" x14ac:dyDescent="0.25">
      <c r="A3" s="185" t="s">
        <v>17</v>
      </c>
      <c r="B3" s="116"/>
      <c r="C3" s="187">
        <v>2027</v>
      </c>
      <c r="D3" s="187"/>
      <c r="E3" s="187"/>
      <c r="F3" s="187"/>
      <c r="G3" s="187"/>
      <c r="H3" s="42"/>
    </row>
    <row r="4" spans="1:8" ht="26.25" x14ac:dyDescent="0.25">
      <c r="A4" s="186"/>
      <c r="B4" s="117" t="s">
        <v>132</v>
      </c>
      <c r="C4" s="42" t="s">
        <v>18</v>
      </c>
      <c r="D4" s="45" t="s">
        <v>19</v>
      </c>
      <c r="E4" s="45" t="s">
        <v>20</v>
      </c>
      <c r="F4" s="45" t="s">
        <v>21</v>
      </c>
      <c r="G4" s="42" t="s">
        <v>22</v>
      </c>
      <c r="H4" s="45" t="s">
        <v>23</v>
      </c>
    </row>
    <row r="5" spans="1:8" ht="15.75" customHeight="1" x14ac:dyDescent="0.25">
      <c r="A5" s="175" t="s">
        <v>24</v>
      </c>
      <c r="B5" s="43">
        <v>21</v>
      </c>
      <c r="C5" s="87">
        <v>238318.79399999999</v>
      </c>
      <c r="D5" s="87">
        <v>16000</v>
      </c>
      <c r="E5" s="87"/>
      <c r="F5" s="87">
        <f>295000-3000</f>
        <v>292000</v>
      </c>
      <c r="G5" s="86"/>
      <c r="H5" s="87">
        <f>C5+D5+E5+F5+G5</f>
        <v>546318.79399999999</v>
      </c>
    </row>
    <row r="6" spans="1:8" ht="25.5" customHeight="1" x14ac:dyDescent="0.25">
      <c r="A6" s="175" t="s">
        <v>25</v>
      </c>
      <c r="B6" s="43">
        <v>27</v>
      </c>
      <c r="C6" s="87">
        <v>259292.38499999995</v>
      </c>
      <c r="D6" s="87">
        <v>5000</v>
      </c>
      <c r="E6" s="87"/>
      <c r="F6" s="87"/>
      <c r="G6" s="86"/>
      <c r="H6" s="87">
        <f t="shared" ref="H6:H21" si="0">C6+D6+E6+F6+G6</f>
        <v>264292.38499999995</v>
      </c>
    </row>
    <row r="7" spans="1:8" ht="25.5" customHeight="1" x14ac:dyDescent="0.25">
      <c r="A7" s="175" t="s">
        <v>26</v>
      </c>
      <c r="B7" s="43">
        <v>38</v>
      </c>
      <c r="C7" s="87">
        <v>332225.79389999993</v>
      </c>
      <c r="D7" s="87">
        <v>80000</v>
      </c>
      <c r="E7" s="87"/>
      <c r="F7" s="87"/>
      <c r="G7" s="86">
        <v>35000</v>
      </c>
      <c r="H7" s="87">
        <f t="shared" si="0"/>
        <v>447225.79389999993</v>
      </c>
    </row>
    <row r="8" spans="1:8" ht="19.5" customHeight="1" x14ac:dyDescent="0.25">
      <c r="A8" s="175" t="s">
        <v>39</v>
      </c>
      <c r="B8" s="43">
        <v>1</v>
      </c>
      <c r="C8" s="87">
        <v>9978.1605</v>
      </c>
      <c r="D8" s="87">
        <v>500</v>
      </c>
      <c r="E8" s="87"/>
      <c r="F8" s="87">
        <v>4000</v>
      </c>
      <c r="G8" s="86"/>
      <c r="H8" s="87">
        <f t="shared" si="0"/>
        <v>14478.1605</v>
      </c>
    </row>
    <row r="9" spans="1:8" ht="15.75" customHeight="1" x14ac:dyDescent="0.25">
      <c r="A9" s="175" t="s">
        <v>27</v>
      </c>
      <c r="B9" s="43">
        <v>8</v>
      </c>
      <c r="C9" s="87">
        <v>92394.294300000009</v>
      </c>
      <c r="D9" s="87">
        <v>32000</v>
      </c>
      <c r="E9" s="87"/>
      <c r="F9" s="87"/>
      <c r="G9" s="86"/>
      <c r="H9" s="87">
        <f t="shared" si="0"/>
        <v>124394.29430000001</v>
      </c>
    </row>
    <row r="10" spans="1:8" ht="15.75" customHeight="1" x14ac:dyDescent="0.25">
      <c r="A10" s="175" t="s">
        <v>28</v>
      </c>
      <c r="B10" s="43">
        <v>21</v>
      </c>
      <c r="C10" s="87">
        <v>199091.76209999996</v>
      </c>
      <c r="D10" s="87">
        <f>47137+32559</f>
        <v>79696</v>
      </c>
      <c r="E10" s="87">
        <f>242000+30000-7935.68</f>
        <v>264064.32</v>
      </c>
      <c r="F10" s="87"/>
      <c r="G10" s="86"/>
      <c r="H10" s="87">
        <f t="shared" si="0"/>
        <v>542852.0821</v>
      </c>
    </row>
    <row r="11" spans="1:8" ht="25.5" customHeight="1" x14ac:dyDescent="0.25">
      <c r="A11" s="175" t="s">
        <v>29</v>
      </c>
      <c r="B11" s="43">
        <v>3</v>
      </c>
      <c r="C11" s="87">
        <v>31603.502700000005</v>
      </c>
      <c r="D11" s="87">
        <v>395692</v>
      </c>
      <c r="E11" s="87"/>
      <c r="F11" s="87"/>
      <c r="G11" s="86">
        <v>290000</v>
      </c>
      <c r="H11" s="87">
        <f t="shared" si="0"/>
        <v>717295.50270000007</v>
      </c>
    </row>
    <row r="12" spans="1:8" ht="27" customHeight="1" x14ac:dyDescent="0.25">
      <c r="A12" s="175" t="s">
        <v>30</v>
      </c>
      <c r="B12" s="43">
        <v>15</v>
      </c>
      <c r="C12" s="87">
        <f>142713.9945+48000+25000</f>
        <v>215713.9945</v>
      </c>
      <c r="D12" s="87">
        <v>15000</v>
      </c>
      <c r="E12" s="87"/>
      <c r="F12" s="87"/>
      <c r="G12" s="86"/>
      <c r="H12" s="87">
        <f t="shared" si="0"/>
        <v>230713.9945</v>
      </c>
    </row>
    <row r="13" spans="1:8" ht="25.5" customHeight="1" x14ac:dyDescent="0.25">
      <c r="A13" s="175" t="s">
        <v>31</v>
      </c>
      <c r="B13" s="43">
        <v>4</v>
      </c>
      <c r="C13" s="87">
        <v>39274.3197</v>
      </c>
      <c r="D13" s="87">
        <v>1000</v>
      </c>
      <c r="E13" s="87"/>
      <c r="F13" s="87">
        <v>3000</v>
      </c>
      <c r="G13" s="86"/>
      <c r="H13" s="87">
        <f t="shared" si="0"/>
        <v>43274.3197</v>
      </c>
    </row>
    <row r="14" spans="1:8" ht="15" customHeight="1" x14ac:dyDescent="0.25">
      <c r="A14" s="175" t="s">
        <v>32</v>
      </c>
      <c r="B14" s="43">
        <v>5</v>
      </c>
      <c r="C14" s="87">
        <v>53944.436699999991</v>
      </c>
      <c r="D14" s="87">
        <v>10000</v>
      </c>
      <c r="E14" s="87"/>
      <c r="F14" s="87">
        <v>231000</v>
      </c>
      <c r="G14" s="86">
        <v>120000</v>
      </c>
      <c r="H14" s="87">
        <f t="shared" si="0"/>
        <v>414944.43669999996</v>
      </c>
    </row>
    <row r="15" spans="1:8" ht="25.5" customHeight="1" x14ac:dyDescent="0.25">
      <c r="A15" s="175" t="s">
        <v>33</v>
      </c>
      <c r="B15" s="43">
        <v>9</v>
      </c>
      <c r="C15" s="87">
        <v>88723.958399999989</v>
      </c>
      <c r="D15" s="87">
        <v>10000</v>
      </c>
      <c r="E15" s="87"/>
      <c r="F15" s="87"/>
      <c r="G15" s="86"/>
      <c r="H15" s="87">
        <f t="shared" si="0"/>
        <v>98723.958399999989</v>
      </c>
    </row>
    <row r="16" spans="1:8" ht="25.5" customHeight="1" x14ac:dyDescent="0.25">
      <c r="A16" s="176" t="s">
        <v>34</v>
      </c>
      <c r="B16" s="44">
        <v>6</v>
      </c>
      <c r="C16" s="87">
        <v>66464.729099999997</v>
      </c>
      <c r="D16" s="87">
        <v>63200</v>
      </c>
      <c r="E16" s="87"/>
      <c r="F16" s="87"/>
      <c r="G16" s="86">
        <v>3830000</v>
      </c>
      <c r="H16" s="87">
        <f t="shared" si="0"/>
        <v>3959664.7291000001</v>
      </c>
    </row>
    <row r="17" spans="1:8" ht="19.5" customHeight="1" x14ac:dyDescent="0.25">
      <c r="A17" s="176" t="s">
        <v>35</v>
      </c>
      <c r="B17" s="44">
        <v>141</v>
      </c>
      <c r="C17" s="87">
        <f>1441450.5777+35037.61+25000</f>
        <v>1501488.1877000001</v>
      </c>
      <c r="D17" s="87">
        <v>450000</v>
      </c>
      <c r="E17" s="87">
        <v>43000</v>
      </c>
      <c r="F17" s="86"/>
      <c r="G17" s="86">
        <v>45000</v>
      </c>
      <c r="H17" s="87">
        <f t="shared" si="0"/>
        <v>2039488.1877000001</v>
      </c>
    </row>
    <row r="18" spans="1:8" ht="15.75" customHeight="1" x14ac:dyDescent="0.25">
      <c r="A18" s="176" t="s">
        <v>36</v>
      </c>
      <c r="B18" s="44">
        <v>11</v>
      </c>
      <c r="C18" s="87">
        <v>103661.712</v>
      </c>
      <c r="D18" s="87">
        <v>12000</v>
      </c>
      <c r="E18" s="87">
        <f>5000</f>
        <v>5000</v>
      </c>
      <c r="F18" s="87"/>
      <c r="G18" s="86"/>
      <c r="H18" s="87">
        <f t="shared" si="0"/>
        <v>120661.712</v>
      </c>
    </row>
    <row r="19" spans="1:8" ht="25.9" customHeight="1" x14ac:dyDescent="0.25">
      <c r="A19" s="176" t="s">
        <v>107</v>
      </c>
      <c r="B19" s="44">
        <v>13</v>
      </c>
      <c r="C19" s="87">
        <v>127064.32200000001</v>
      </c>
      <c r="D19" s="87">
        <f>45000+15000</f>
        <v>60000</v>
      </c>
      <c r="E19" s="87">
        <f>5000+7935.68</f>
        <v>12935.68</v>
      </c>
      <c r="F19" s="87"/>
      <c r="G19" s="86"/>
      <c r="H19" s="87">
        <f>C19+D19+E19+F19+G19</f>
        <v>200000.00200000001</v>
      </c>
    </row>
    <row r="20" spans="1:8" ht="15.75" customHeight="1" x14ac:dyDescent="0.25">
      <c r="A20" s="176" t="s">
        <v>37</v>
      </c>
      <c r="B20" s="44">
        <v>13</v>
      </c>
      <c r="C20" s="87">
        <v>127444.22459999999</v>
      </c>
      <c r="D20" s="87">
        <v>48000</v>
      </c>
      <c r="E20" s="87"/>
      <c r="F20" s="87">
        <v>120000</v>
      </c>
      <c r="G20" s="86">
        <v>30000</v>
      </c>
      <c r="H20" s="87">
        <f t="shared" si="0"/>
        <v>325444.22459999996</v>
      </c>
    </row>
    <row r="21" spans="1:8" ht="25.5" customHeight="1" x14ac:dyDescent="0.25">
      <c r="A21" s="176" t="s">
        <v>38</v>
      </c>
      <c r="B21" s="44">
        <f>647+99</f>
        <v>746</v>
      </c>
      <c r="C21" s="87">
        <v>6223087.4201999996</v>
      </c>
      <c r="D21" s="87">
        <f>457471-15000</f>
        <v>442471</v>
      </c>
      <c r="E21" s="87">
        <v>75000</v>
      </c>
      <c r="F21" s="87">
        <v>150000</v>
      </c>
      <c r="G21" s="86">
        <v>150000</v>
      </c>
      <c r="H21" s="87">
        <f t="shared" si="0"/>
        <v>7040558.4201999996</v>
      </c>
    </row>
    <row r="22" spans="1:8" s="105" customFormat="1" ht="27" customHeight="1" thickBot="1" x14ac:dyDescent="0.3">
      <c r="A22" s="104" t="s">
        <v>120</v>
      </c>
      <c r="B22" s="172">
        <f>SUM(B5:B21)</f>
        <v>1082</v>
      </c>
      <c r="C22" s="173">
        <f t="shared" ref="C22:H22" si="1">SUM(C5:C21)</f>
        <v>9709771.9973999988</v>
      </c>
      <c r="D22" s="173">
        <f t="shared" si="1"/>
        <v>1720559</v>
      </c>
      <c r="E22" s="173">
        <f t="shared" si="1"/>
        <v>400000</v>
      </c>
      <c r="F22" s="173">
        <f t="shared" si="1"/>
        <v>800000</v>
      </c>
      <c r="G22" s="173">
        <f t="shared" si="1"/>
        <v>4500000</v>
      </c>
      <c r="H22" s="173">
        <f t="shared" si="1"/>
        <v>17130330.997400001</v>
      </c>
    </row>
    <row r="23" spans="1:8" x14ac:dyDescent="0.25">
      <c r="C23" s="3"/>
      <c r="D23" s="174"/>
    </row>
    <row r="24" spans="1:8" x14ac:dyDescent="0.25">
      <c r="C24" s="3"/>
      <c r="D24" s="3"/>
    </row>
  </sheetData>
  <mergeCells count="2">
    <mergeCell ref="A3:A4"/>
    <mergeCell ref="C3:G3"/>
  </mergeCells>
  <pageMargins left="0.11811023622047245" right="0.11811023622047245" top="0.74803149606299213" bottom="0.74803149606299213" header="0.31496062992125984" footer="0.31496062992125984"/>
  <pageSetup paperSize="9" orientation="portrait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4"/>
  <sheetViews>
    <sheetView zoomScaleNormal="100" workbookViewId="0">
      <selection activeCell="A2" sqref="A2:H22"/>
    </sheetView>
  </sheetViews>
  <sheetFormatPr defaultRowHeight="15" x14ac:dyDescent="0.25"/>
  <cols>
    <col min="1" max="1" width="19.85546875" customWidth="1"/>
    <col min="2" max="2" width="10" customWidth="1"/>
    <col min="3" max="3" width="13.85546875" customWidth="1"/>
    <col min="4" max="4" width="16.28515625" customWidth="1"/>
    <col min="5" max="5" width="12.42578125" customWidth="1"/>
    <col min="6" max="6" width="11.28515625" customWidth="1"/>
    <col min="7" max="7" width="13.5703125" customWidth="1"/>
    <col min="8" max="8" width="14.28515625" customWidth="1"/>
  </cols>
  <sheetData>
    <row r="2" spans="1:8" x14ac:dyDescent="0.25">
      <c r="A2" s="106" t="s">
        <v>231</v>
      </c>
      <c r="B2" s="106"/>
    </row>
    <row r="3" spans="1:8" ht="15.75" customHeight="1" x14ac:dyDescent="0.25">
      <c r="A3" s="185" t="s">
        <v>17</v>
      </c>
      <c r="B3" s="116"/>
      <c r="C3" s="187">
        <v>2028</v>
      </c>
      <c r="D3" s="187"/>
      <c r="E3" s="187"/>
      <c r="F3" s="187"/>
      <c r="G3" s="187"/>
      <c r="H3" s="42"/>
    </row>
    <row r="4" spans="1:8" ht="26.25" x14ac:dyDescent="0.25">
      <c r="A4" s="186"/>
      <c r="B4" s="117" t="s">
        <v>132</v>
      </c>
      <c r="C4" s="42" t="s">
        <v>18</v>
      </c>
      <c r="D4" s="45" t="s">
        <v>19</v>
      </c>
      <c r="E4" s="45" t="s">
        <v>20</v>
      </c>
      <c r="F4" s="45" t="s">
        <v>21</v>
      </c>
      <c r="G4" s="42" t="s">
        <v>22</v>
      </c>
      <c r="H4" s="45" t="s">
        <v>23</v>
      </c>
    </row>
    <row r="5" spans="1:8" ht="15.75" customHeight="1" x14ac:dyDescent="0.25">
      <c r="A5" s="175" t="s">
        <v>24</v>
      </c>
      <c r="B5" s="43">
        <v>21</v>
      </c>
      <c r="C5" s="87">
        <f>238318.794+20000</f>
        <v>258318.79399999999</v>
      </c>
      <c r="D5" s="87">
        <v>16000</v>
      </c>
      <c r="E5" s="87"/>
      <c r="F5" s="87">
        <f>295000-3000</f>
        <v>292000</v>
      </c>
      <c r="G5" s="86"/>
      <c r="H5" s="87">
        <f>C5+D5+E5+F5+G5</f>
        <v>566318.79399999999</v>
      </c>
    </row>
    <row r="6" spans="1:8" ht="25.5" customHeight="1" x14ac:dyDescent="0.25">
      <c r="A6" s="175" t="s">
        <v>25</v>
      </c>
      <c r="B6" s="43">
        <v>27</v>
      </c>
      <c r="C6" s="87">
        <f>259292.385+27000</f>
        <v>286292.38500000001</v>
      </c>
      <c r="D6" s="87">
        <v>5000</v>
      </c>
      <c r="E6" s="87"/>
      <c r="F6" s="87"/>
      <c r="G6" s="86"/>
      <c r="H6" s="87">
        <f t="shared" ref="H6:H21" si="0">C6+D6+E6+F6+G6</f>
        <v>291292.38500000001</v>
      </c>
    </row>
    <row r="7" spans="1:8" ht="25.5" customHeight="1" x14ac:dyDescent="0.25">
      <c r="A7" s="175" t="s">
        <v>26</v>
      </c>
      <c r="B7" s="43">
        <v>38</v>
      </c>
      <c r="C7" s="87">
        <f>332225.7939+38000</f>
        <v>370225.79389999999</v>
      </c>
      <c r="D7" s="87">
        <v>80000</v>
      </c>
      <c r="E7" s="87"/>
      <c r="F7" s="87"/>
      <c r="G7" s="86">
        <v>85000</v>
      </c>
      <c r="H7" s="87">
        <f t="shared" si="0"/>
        <v>535225.79389999993</v>
      </c>
    </row>
    <row r="8" spans="1:8" ht="19.5" customHeight="1" x14ac:dyDescent="0.25">
      <c r="A8" s="175" t="s">
        <v>39</v>
      </c>
      <c r="B8" s="43">
        <v>1</v>
      </c>
      <c r="C8" s="87">
        <f>9978.1605+1000</f>
        <v>10978.1605</v>
      </c>
      <c r="D8" s="87">
        <v>500</v>
      </c>
      <c r="E8" s="87"/>
      <c r="F8" s="87">
        <v>4000</v>
      </c>
      <c r="G8" s="86"/>
      <c r="H8" s="87">
        <f t="shared" si="0"/>
        <v>15478.1605</v>
      </c>
    </row>
    <row r="9" spans="1:8" ht="15.75" customHeight="1" x14ac:dyDescent="0.25">
      <c r="A9" s="175" t="s">
        <v>27</v>
      </c>
      <c r="B9" s="43">
        <v>8</v>
      </c>
      <c r="C9" s="87">
        <f>92394.2943+8000</f>
        <v>100394.29429999999</v>
      </c>
      <c r="D9" s="87">
        <v>32000</v>
      </c>
      <c r="E9" s="87"/>
      <c r="F9" s="87"/>
      <c r="G9" s="86"/>
      <c r="H9" s="87">
        <f t="shared" si="0"/>
        <v>132394.29430000001</v>
      </c>
    </row>
    <row r="10" spans="1:8" ht="15.75" customHeight="1" x14ac:dyDescent="0.25">
      <c r="A10" s="175" t="s">
        <v>28</v>
      </c>
      <c r="B10" s="43">
        <v>21</v>
      </c>
      <c r="C10" s="87">
        <f>199091.7621+20000</f>
        <v>219091.76209999999</v>
      </c>
      <c r="D10" s="87">
        <f>47137+64000</f>
        <v>111137</v>
      </c>
      <c r="E10" s="87">
        <f>242000+22064.32</f>
        <v>264064.32</v>
      </c>
      <c r="F10" s="87"/>
      <c r="G10" s="86"/>
      <c r="H10" s="87">
        <f t="shared" si="0"/>
        <v>594293.0821</v>
      </c>
    </row>
    <row r="11" spans="1:8" ht="25.5" customHeight="1" x14ac:dyDescent="0.25">
      <c r="A11" s="175" t="s">
        <v>29</v>
      </c>
      <c r="B11" s="43">
        <v>3</v>
      </c>
      <c r="C11" s="87">
        <f>31603.5027+3000</f>
        <v>34603.502699999997</v>
      </c>
      <c r="D11" s="87">
        <v>395692</v>
      </c>
      <c r="E11" s="87"/>
      <c r="F11" s="87"/>
      <c r="G11" s="86">
        <v>600000</v>
      </c>
      <c r="H11" s="87">
        <f t="shared" si="0"/>
        <v>1030295.5027000001</v>
      </c>
    </row>
    <row r="12" spans="1:8" ht="27" customHeight="1" x14ac:dyDescent="0.25">
      <c r="A12" s="175" t="s">
        <v>30</v>
      </c>
      <c r="B12" s="43">
        <v>15</v>
      </c>
      <c r="C12" s="87">
        <f>142713.9945+48000+15000</f>
        <v>205713.9945</v>
      </c>
      <c r="D12" s="87">
        <v>15000</v>
      </c>
      <c r="E12" s="87"/>
      <c r="F12" s="87"/>
      <c r="G12" s="86"/>
      <c r="H12" s="87">
        <f t="shared" si="0"/>
        <v>220713.9945</v>
      </c>
    </row>
    <row r="13" spans="1:8" ht="25.5" customHeight="1" x14ac:dyDescent="0.25">
      <c r="A13" s="175" t="s">
        <v>31</v>
      </c>
      <c r="B13" s="43">
        <v>4</v>
      </c>
      <c r="C13" s="87">
        <f>39274.3197+4000</f>
        <v>43274.3197</v>
      </c>
      <c r="D13" s="87">
        <v>1000</v>
      </c>
      <c r="E13" s="87"/>
      <c r="F13" s="87">
        <v>3000</v>
      </c>
      <c r="G13" s="86"/>
      <c r="H13" s="87">
        <f t="shared" si="0"/>
        <v>47274.3197</v>
      </c>
    </row>
    <row r="14" spans="1:8" ht="15" customHeight="1" x14ac:dyDescent="0.25">
      <c r="A14" s="175" t="s">
        <v>32</v>
      </c>
      <c r="B14" s="43">
        <v>5</v>
      </c>
      <c r="C14" s="87">
        <f>53944.4367+5000</f>
        <v>58944.436699999998</v>
      </c>
      <c r="D14" s="87">
        <v>10000</v>
      </c>
      <c r="E14" s="87"/>
      <c r="F14" s="87">
        <v>231000</v>
      </c>
      <c r="G14" s="86">
        <v>120000</v>
      </c>
      <c r="H14" s="87">
        <f t="shared" si="0"/>
        <v>419944.43669999996</v>
      </c>
    </row>
    <row r="15" spans="1:8" ht="25.5" customHeight="1" x14ac:dyDescent="0.25">
      <c r="A15" s="175" t="s">
        <v>33</v>
      </c>
      <c r="B15" s="43">
        <v>9</v>
      </c>
      <c r="C15" s="87">
        <f>88723.9584+9000</f>
        <v>97723.958400000003</v>
      </c>
      <c r="D15" s="87">
        <v>10000</v>
      </c>
      <c r="E15" s="87"/>
      <c r="F15" s="87"/>
      <c r="G15" s="86">
        <v>12000</v>
      </c>
      <c r="H15" s="87">
        <f t="shared" si="0"/>
        <v>119723.9584</v>
      </c>
    </row>
    <row r="16" spans="1:8" ht="25.5" customHeight="1" x14ac:dyDescent="0.25">
      <c r="A16" s="176" t="s">
        <v>34</v>
      </c>
      <c r="B16" s="44">
        <v>6</v>
      </c>
      <c r="C16" s="87">
        <f>66464.7291+6000</f>
        <v>72464.729099999997</v>
      </c>
      <c r="D16" s="87">
        <v>63200</v>
      </c>
      <c r="E16" s="87"/>
      <c r="F16" s="87"/>
      <c r="G16" s="86">
        <v>3618000</v>
      </c>
      <c r="H16" s="87">
        <f t="shared" si="0"/>
        <v>3753664.7291000001</v>
      </c>
    </row>
    <row r="17" spans="1:8" ht="19.5" customHeight="1" x14ac:dyDescent="0.25">
      <c r="A17" s="176" t="s">
        <v>35</v>
      </c>
      <c r="B17" s="44">
        <v>141</v>
      </c>
      <c r="C17" s="87">
        <f>1441450.5777+35037.61</f>
        <v>1476488.1877000001</v>
      </c>
      <c r="D17" s="87">
        <f>450000+10000</f>
        <v>460000</v>
      </c>
      <c r="E17" s="87">
        <v>43000</v>
      </c>
      <c r="F17" s="86"/>
      <c r="G17" s="86">
        <v>85000</v>
      </c>
      <c r="H17" s="87">
        <f t="shared" si="0"/>
        <v>2064488.1877000001</v>
      </c>
    </row>
    <row r="18" spans="1:8" ht="15.75" customHeight="1" x14ac:dyDescent="0.25">
      <c r="A18" s="176" t="s">
        <v>36</v>
      </c>
      <c r="B18" s="44">
        <v>11</v>
      </c>
      <c r="C18" s="87">
        <f>103661.712+5000</f>
        <v>108661.712</v>
      </c>
      <c r="D18" s="87">
        <v>12000</v>
      </c>
      <c r="E18" s="87">
        <v>5000</v>
      </c>
      <c r="F18" s="87"/>
      <c r="G18" s="86"/>
      <c r="H18" s="87">
        <f t="shared" si="0"/>
        <v>125661.712</v>
      </c>
    </row>
    <row r="19" spans="1:8" ht="25.9" customHeight="1" x14ac:dyDescent="0.25">
      <c r="A19" s="176" t="s">
        <v>107</v>
      </c>
      <c r="B19" s="44">
        <v>13</v>
      </c>
      <c r="C19" s="87">
        <v>127064.32200000001</v>
      </c>
      <c r="D19" s="87">
        <f>45000+18000</f>
        <v>63000</v>
      </c>
      <c r="E19" s="87">
        <f>5000+7935.68</f>
        <v>12935.68</v>
      </c>
      <c r="F19" s="87"/>
      <c r="G19" s="86">
        <v>20000</v>
      </c>
      <c r="H19" s="87">
        <f>C19+D19+E19+F19+G19</f>
        <v>223000.00200000001</v>
      </c>
    </row>
    <row r="20" spans="1:8" ht="15.75" customHeight="1" x14ac:dyDescent="0.25">
      <c r="A20" s="176" t="s">
        <v>37</v>
      </c>
      <c r="B20" s="44">
        <v>13</v>
      </c>
      <c r="C20" s="87">
        <f>127444.2246+8765</f>
        <v>136209.22460000002</v>
      </c>
      <c r="D20" s="87">
        <v>48000</v>
      </c>
      <c r="E20" s="87"/>
      <c r="F20" s="87">
        <v>120000</v>
      </c>
      <c r="G20" s="86">
        <v>80000</v>
      </c>
      <c r="H20" s="87">
        <f t="shared" si="0"/>
        <v>384209.22460000002</v>
      </c>
    </row>
    <row r="21" spans="1:8" ht="25.5" customHeight="1" x14ac:dyDescent="0.25">
      <c r="A21" s="176" t="s">
        <v>38</v>
      </c>
      <c r="B21" s="44">
        <f>647+99</f>
        <v>746</v>
      </c>
      <c r="C21" s="87">
        <f>6223087.4202+10000</f>
        <v>6233087.4201999996</v>
      </c>
      <c r="D21" s="87">
        <f>457471+20000</f>
        <v>477471</v>
      </c>
      <c r="E21" s="87">
        <v>75000</v>
      </c>
      <c r="F21" s="87">
        <v>150000</v>
      </c>
      <c r="G21" s="86">
        <v>180000</v>
      </c>
      <c r="H21" s="87">
        <f t="shared" si="0"/>
        <v>7115558.4201999996</v>
      </c>
    </row>
    <row r="22" spans="1:8" s="105" customFormat="1" ht="27" customHeight="1" thickBot="1" x14ac:dyDescent="0.3">
      <c r="A22" s="104" t="s">
        <v>120</v>
      </c>
      <c r="B22" s="172">
        <f>SUM(B5:B21)</f>
        <v>1082</v>
      </c>
      <c r="C22" s="173">
        <f t="shared" ref="C22:H22" si="1">SUM(C5:C21)</f>
        <v>9839536.9974000007</v>
      </c>
      <c r="D22" s="173">
        <f t="shared" si="1"/>
        <v>1800000</v>
      </c>
      <c r="E22" s="173">
        <f t="shared" si="1"/>
        <v>400000</v>
      </c>
      <c r="F22" s="173">
        <f t="shared" si="1"/>
        <v>800000</v>
      </c>
      <c r="G22" s="173">
        <f t="shared" si="1"/>
        <v>4800000</v>
      </c>
      <c r="H22" s="173">
        <f t="shared" si="1"/>
        <v>17639536.997400001</v>
      </c>
    </row>
    <row r="23" spans="1:8" x14ac:dyDescent="0.25">
      <c r="C23" s="3"/>
      <c r="D23" s="3"/>
      <c r="E23" s="3"/>
    </row>
    <row r="24" spans="1:8" x14ac:dyDescent="0.25">
      <c r="C24" s="3"/>
    </row>
  </sheetData>
  <mergeCells count="2">
    <mergeCell ref="A3:A4"/>
    <mergeCell ref="C3:G3"/>
  </mergeCells>
  <pageMargins left="0.11811023622047245" right="0.11811023622047245" top="0.74803149606299213" bottom="0.74803149606299213" header="0.31496062992125984" footer="0.31496062992125984"/>
  <pageSetup paperSize="9" orientation="portrait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61"/>
  <sheetViews>
    <sheetView zoomScaleNormal="100" workbookViewId="0"/>
  </sheetViews>
  <sheetFormatPr defaultRowHeight="15" x14ac:dyDescent="0.25"/>
  <cols>
    <col min="1" max="1" width="3.5703125" customWidth="1"/>
    <col min="2" max="2" width="54" customWidth="1"/>
    <col min="3" max="3" width="12.42578125" customWidth="1"/>
    <col min="4" max="4" width="14" customWidth="1"/>
    <col min="5" max="5" width="13.28515625" customWidth="1"/>
  </cols>
  <sheetData>
    <row r="1" spans="1:5" x14ac:dyDescent="0.25">
      <c r="A1" s="124"/>
      <c r="B1" s="124" t="s">
        <v>52</v>
      </c>
      <c r="C1" s="47"/>
      <c r="D1" s="48"/>
      <c r="E1" s="48"/>
    </row>
    <row r="2" spans="1:5" x14ac:dyDescent="0.25">
      <c r="A2" s="125"/>
      <c r="B2" s="125" t="s">
        <v>108</v>
      </c>
      <c r="C2" s="126" t="s">
        <v>41</v>
      </c>
      <c r="D2" s="127">
        <v>10</v>
      </c>
      <c r="E2" s="127">
        <v>21</v>
      </c>
    </row>
    <row r="3" spans="1:5" ht="39" x14ac:dyDescent="0.25">
      <c r="A3" s="165">
        <v>1</v>
      </c>
      <c r="B3" s="59" t="s">
        <v>135</v>
      </c>
      <c r="C3" s="50">
        <f>D3+E3</f>
        <v>80000</v>
      </c>
      <c r="D3" s="51">
        <v>60000</v>
      </c>
      <c r="E3" s="52">
        <v>20000</v>
      </c>
    </row>
    <row r="4" spans="1:5" ht="26.25" x14ac:dyDescent="0.25">
      <c r="A4" s="165">
        <v>2</v>
      </c>
      <c r="B4" s="59" t="s">
        <v>136</v>
      </c>
      <c r="C4" s="50">
        <f t="shared" ref="C4:C40" si="0">D4+E4</f>
        <v>60000</v>
      </c>
      <c r="D4" s="51">
        <v>30000</v>
      </c>
      <c r="E4" s="52">
        <v>30000</v>
      </c>
    </row>
    <row r="5" spans="1:5" x14ac:dyDescent="0.25">
      <c r="A5" s="165">
        <v>3</v>
      </c>
      <c r="B5" s="59" t="s">
        <v>42</v>
      </c>
      <c r="C5" s="50">
        <f t="shared" si="0"/>
        <v>1150000</v>
      </c>
      <c r="D5" s="51">
        <v>650000</v>
      </c>
      <c r="E5" s="52">
        <v>500000</v>
      </c>
    </row>
    <row r="6" spans="1:5" ht="26.25" x14ac:dyDescent="0.25">
      <c r="A6" s="165">
        <v>4</v>
      </c>
      <c r="B6" s="59" t="s">
        <v>98</v>
      </c>
      <c r="C6" s="50">
        <f t="shared" si="0"/>
        <v>40000</v>
      </c>
      <c r="D6" s="51">
        <v>20000</v>
      </c>
      <c r="E6" s="52">
        <v>20000</v>
      </c>
    </row>
    <row r="7" spans="1:5" ht="39" x14ac:dyDescent="0.25">
      <c r="A7" s="165">
        <v>5</v>
      </c>
      <c r="B7" s="59" t="s">
        <v>137</v>
      </c>
      <c r="C7" s="50">
        <f t="shared" si="0"/>
        <v>350000</v>
      </c>
      <c r="D7" s="51">
        <v>250000</v>
      </c>
      <c r="E7" s="52">
        <v>100000</v>
      </c>
    </row>
    <row r="8" spans="1:5" ht="25.9" customHeight="1" x14ac:dyDescent="0.25">
      <c r="A8" s="165">
        <v>6</v>
      </c>
      <c r="B8" s="59" t="s">
        <v>138</v>
      </c>
      <c r="C8" s="50">
        <f t="shared" si="0"/>
        <v>100000</v>
      </c>
      <c r="D8" s="51">
        <v>70000</v>
      </c>
      <c r="E8" s="52">
        <v>30000</v>
      </c>
    </row>
    <row r="9" spans="1:5" ht="26.25" x14ac:dyDescent="0.25">
      <c r="A9" s="165">
        <v>7</v>
      </c>
      <c r="B9" s="59" t="s">
        <v>139</v>
      </c>
      <c r="C9" s="50">
        <f t="shared" si="0"/>
        <v>60000</v>
      </c>
      <c r="D9" s="51">
        <v>50000</v>
      </c>
      <c r="E9" s="52">
        <v>10000</v>
      </c>
    </row>
    <row r="10" spans="1:5" ht="39" x14ac:dyDescent="0.25">
      <c r="A10" s="165">
        <v>8</v>
      </c>
      <c r="B10" s="59" t="s">
        <v>140</v>
      </c>
      <c r="C10" s="50">
        <f t="shared" si="0"/>
        <v>60000</v>
      </c>
      <c r="D10" s="51">
        <v>40000</v>
      </c>
      <c r="E10" s="52">
        <v>20000</v>
      </c>
    </row>
    <row r="11" spans="1:5" ht="26.25" x14ac:dyDescent="0.25">
      <c r="A11" s="165">
        <v>9</v>
      </c>
      <c r="B11" s="59" t="s">
        <v>141</v>
      </c>
      <c r="C11" s="50">
        <f t="shared" si="0"/>
        <v>50000</v>
      </c>
      <c r="D11" s="51">
        <v>30000</v>
      </c>
      <c r="E11" s="52">
        <v>20000</v>
      </c>
    </row>
    <row r="12" spans="1:5" x14ac:dyDescent="0.25">
      <c r="A12" s="165">
        <v>10</v>
      </c>
      <c r="B12" s="59" t="s">
        <v>142</v>
      </c>
      <c r="C12" s="50">
        <f t="shared" si="0"/>
        <v>40000</v>
      </c>
      <c r="D12" s="51">
        <v>20000</v>
      </c>
      <c r="E12" s="52">
        <v>20000</v>
      </c>
    </row>
    <row r="13" spans="1:5" ht="26.25" x14ac:dyDescent="0.25">
      <c r="A13" s="165">
        <v>11</v>
      </c>
      <c r="B13" s="59" t="s">
        <v>143</v>
      </c>
      <c r="C13" s="50">
        <f t="shared" si="0"/>
        <v>80000</v>
      </c>
      <c r="D13" s="51">
        <v>50000</v>
      </c>
      <c r="E13" s="52">
        <v>30000</v>
      </c>
    </row>
    <row r="14" spans="1:5" ht="26.25" x14ac:dyDescent="0.25">
      <c r="A14" s="165">
        <v>12</v>
      </c>
      <c r="B14" s="59" t="s">
        <v>144</v>
      </c>
      <c r="C14" s="50">
        <f t="shared" si="0"/>
        <v>50000</v>
      </c>
      <c r="D14" s="51">
        <v>35000</v>
      </c>
      <c r="E14" s="52">
        <v>15000</v>
      </c>
    </row>
    <row r="15" spans="1:5" ht="26.25" x14ac:dyDescent="0.25">
      <c r="A15" s="165">
        <v>13</v>
      </c>
      <c r="B15" s="59" t="s">
        <v>145</v>
      </c>
      <c r="C15" s="50">
        <f t="shared" si="0"/>
        <v>20000</v>
      </c>
      <c r="D15" s="51">
        <v>20000</v>
      </c>
      <c r="E15" s="52"/>
    </row>
    <row r="16" spans="1:5" ht="26.25" x14ac:dyDescent="0.25">
      <c r="A16" s="165">
        <v>14</v>
      </c>
      <c r="B16" s="128" t="s">
        <v>146</v>
      </c>
      <c r="C16" s="50">
        <f t="shared" si="0"/>
        <v>40000</v>
      </c>
      <c r="D16" s="51">
        <v>20000</v>
      </c>
      <c r="E16" s="52">
        <v>20000</v>
      </c>
    </row>
    <row r="17" spans="1:5" x14ac:dyDescent="0.25">
      <c r="A17" s="165">
        <v>15</v>
      </c>
      <c r="B17" s="59" t="s">
        <v>147</v>
      </c>
      <c r="C17" s="50">
        <f t="shared" si="0"/>
        <v>20000</v>
      </c>
      <c r="D17" s="51">
        <v>10000</v>
      </c>
      <c r="E17" s="52">
        <v>10000</v>
      </c>
    </row>
    <row r="18" spans="1:5" ht="26.25" x14ac:dyDescent="0.25">
      <c r="A18" s="165">
        <v>16</v>
      </c>
      <c r="B18" s="128" t="s">
        <v>148</v>
      </c>
      <c r="C18" s="50">
        <f t="shared" si="0"/>
        <v>100000</v>
      </c>
      <c r="D18" s="51">
        <v>55000</v>
      </c>
      <c r="E18" s="52">
        <v>45000</v>
      </c>
    </row>
    <row r="19" spans="1:5" ht="26.25" x14ac:dyDescent="0.25">
      <c r="A19" s="165">
        <v>17</v>
      </c>
      <c r="B19" s="128" t="s">
        <v>149</v>
      </c>
      <c r="C19" s="50">
        <f t="shared" si="0"/>
        <v>30000</v>
      </c>
      <c r="D19" s="51">
        <v>30000</v>
      </c>
      <c r="E19" s="52">
        <v>0</v>
      </c>
    </row>
    <row r="20" spans="1:5" ht="26.25" x14ac:dyDescent="0.25">
      <c r="A20" s="165">
        <v>18</v>
      </c>
      <c r="B20" s="128" t="s">
        <v>150</v>
      </c>
      <c r="C20" s="50">
        <f t="shared" si="0"/>
        <v>60000</v>
      </c>
      <c r="D20" s="51">
        <v>40000</v>
      </c>
      <c r="E20" s="52">
        <v>20000</v>
      </c>
    </row>
    <row r="21" spans="1:5" ht="26.25" x14ac:dyDescent="0.25">
      <c r="A21" s="165">
        <v>19</v>
      </c>
      <c r="B21" s="59" t="s">
        <v>151</v>
      </c>
      <c r="C21" s="50">
        <f t="shared" si="0"/>
        <v>30000</v>
      </c>
      <c r="D21" s="51">
        <v>30000</v>
      </c>
      <c r="E21" s="52"/>
    </row>
    <row r="22" spans="1:5" ht="39" x14ac:dyDescent="0.25">
      <c r="A22" s="165">
        <v>20</v>
      </c>
      <c r="B22" s="59" t="s">
        <v>152</v>
      </c>
      <c r="C22" s="50">
        <f t="shared" si="0"/>
        <v>50000</v>
      </c>
      <c r="D22" s="51">
        <v>50000</v>
      </c>
      <c r="E22" s="52"/>
    </row>
    <row r="23" spans="1:5" ht="26.25" x14ac:dyDescent="0.25">
      <c r="A23" s="165">
        <v>21</v>
      </c>
      <c r="B23" s="59" t="s">
        <v>153</v>
      </c>
      <c r="C23" s="50">
        <f t="shared" si="0"/>
        <v>10000</v>
      </c>
      <c r="D23" s="51"/>
      <c r="E23" s="52">
        <v>10000</v>
      </c>
    </row>
    <row r="24" spans="1:5" ht="26.25" x14ac:dyDescent="0.25">
      <c r="A24" s="165">
        <v>22</v>
      </c>
      <c r="B24" s="59" t="s">
        <v>154</v>
      </c>
      <c r="C24" s="50">
        <f t="shared" si="0"/>
        <v>70000</v>
      </c>
      <c r="D24" s="51">
        <v>50000</v>
      </c>
      <c r="E24" s="52">
        <v>20000</v>
      </c>
    </row>
    <row r="25" spans="1:5" ht="26.25" x14ac:dyDescent="0.25">
      <c r="A25" s="165">
        <v>23</v>
      </c>
      <c r="B25" s="128" t="s">
        <v>155</v>
      </c>
      <c r="C25" s="50">
        <f t="shared" si="0"/>
        <v>130000</v>
      </c>
      <c r="D25" s="51">
        <v>100000</v>
      </c>
      <c r="E25" s="52">
        <v>30000</v>
      </c>
    </row>
    <row r="26" spans="1:5" ht="26.25" x14ac:dyDescent="0.25">
      <c r="A26" s="165">
        <v>24</v>
      </c>
      <c r="B26" s="59" t="s">
        <v>156</v>
      </c>
      <c r="C26" s="50">
        <f t="shared" si="0"/>
        <v>35000</v>
      </c>
      <c r="D26" s="51">
        <v>35000</v>
      </c>
      <c r="E26" s="52"/>
    </row>
    <row r="27" spans="1:5" ht="26.25" x14ac:dyDescent="0.25">
      <c r="A27" s="165">
        <v>25</v>
      </c>
      <c r="B27" s="128" t="s">
        <v>157</v>
      </c>
      <c r="C27" s="50">
        <f t="shared" si="0"/>
        <v>35000</v>
      </c>
      <c r="D27" s="51">
        <v>25000</v>
      </c>
      <c r="E27" s="52">
        <v>10000</v>
      </c>
    </row>
    <row r="28" spans="1:5" x14ac:dyDescent="0.25">
      <c r="A28" s="165">
        <v>26</v>
      </c>
      <c r="B28" s="128" t="s">
        <v>158</v>
      </c>
      <c r="C28" s="50">
        <f t="shared" si="0"/>
        <v>50000</v>
      </c>
      <c r="D28" s="51">
        <v>30000</v>
      </c>
      <c r="E28" s="52">
        <v>20000</v>
      </c>
    </row>
    <row r="29" spans="1:5" x14ac:dyDescent="0.25">
      <c r="A29" s="165">
        <v>27</v>
      </c>
      <c r="B29" s="128" t="s">
        <v>159</v>
      </c>
      <c r="C29" s="50">
        <f t="shared" si="0"/>
        <v>50000</v>
      </c>
      <c r="D29" s="51">
        <v>30000</v>
      </c>
      <c r="E29" s="52">
        <v>20000</v>
      </c>
    </row>
    <row r="30" spans="1:5" x14ac:dyDescent="0.25">
      <c r="A30" s="165">
        <v>28</v>
      </c>
      <c r="B30" s="128" t="s">
        <v>160</v>
      </c>
      <c r="C30" s="50">
        <f t="shared" si="0"/>
        <v>30000</v>
      </c>
      <c r="D30" s="51">
        <v>10000</v>
      </c>
      <c r="E30" s="52">
        <v>20000</v>
      </c>
    </row>
    <row r="31" spans="1:5" x14ac:dyDescent="0.25">
      <c r="A31" s="165">
        <v>29</v>
      </c>
      <c r="B31" s="128" t="s">
        <v>161</v>
      </c>
      <c r="C31" s="50">
        <f t="shared" si="0"/>
        <v>10000</v>
      </c>
      <c r="D31" s="51"/>
      <c r="E31" s="52">
        <v>10000</v>
      </c>
    </row>
    <row r="32" spans="1:5" x14ac:dyDescent="0.25">
      <c r="A32" s="165">
        <v>30</v>
      </c>
      <c r="B32" s="128" t="s">
        <v>227</v>
      </c>
      <c r="C32" s="50">
        <f t="shared" si="0"/>
        <v>50000</v>
      </c>
      <c r="D32" s="51"/>
      <c r="E32" s="52">
        <v>50000</v>
      </c>
    </row>
    <row r="33" spans="1:5" x14ac:dyDescent="0.25">
      <c r="A33" s="165">
        <v>31</v>
      </c>
      <c r="B33" s="128" t="s">
        <v>228</v>
      </c>
      <c r="C33" s="50">
        <f t="shared" si="0"/>
        <v>10000</v>
      </c>
      <c r="D33" s="51"/>
      <c r="E33" s="52">
        <v>10000</v>
      </c>
    </row>
    <row r="34" spans="1:5" x14ac:dyDescent="0.25">
      <c r="A34" s="165">
        <v>32</v>
      </c>
      <c r="B34" s="128" t="s">
        <v>162</v>
      </c>
      <c r="C34" s="50">
        <f t="shared" si="0"/>
        <v>10000</v>
      </c>
      <c r="D34" s="51"/>
      <c r="E34" s="52">
        <v>10000</v>
      </c>
    </row>
    <row r="35" spans="1:5" x14ac:dyDescent="0.25">
      <c r="A35" s="129"/>
      <c r="B35" s="130" t="s">
        <v>44</v>
      </c>
      <c r="C35" s="55">
        <f>SUM(C3:C34)</f>
        <v>2960000</v>
      </c>
      <c r="D35" s="55">
        <f t="shared" ref="D35:E35" si="1">SUM(D3:D34)</f>
        <v>1840000</v>
      </c>
      <c r="E35" s="55">
        <f t="shared" si="1"/>
        <v>1120000</v>
      </c>
    </row>
    <row r="36" spans="1:5" ht="26.25" x14ac:dyDescent="0.25">
      <c r="A36" s="165">
        <v>33</v>
      </c>
      <c r="B36" s="59" t="s">
        <v>163</v>
      </c>
      <c r="C36" s="50">
        <f t="shared" si="0"/>
        <v>70000</v>
      </c>
      <c r="D36" s="51">
        <v>40000</v>
      </c>
      <c r="E36" s="52">
        <v>30000</v>
      </c>
    </row>
    <row r="37" spans="1:5" ht="39" x14ac:dyDescent="0.25">
      <c r="A37" s="165">
        <v>34</v>
      </c>
      <c r="B37" s="59" t="s">
        <v>164</v>
      </c>
      <c r="C37" s="50">
        <f t="shared" si="0"/>
        <v>185000</v>
      </c>
      <c r="D37" s="51">
        <v>135000</v>
      </c>
      <c r="E37" s="52">
        <v>50000</v>
      </c>
    </row>
    <row r="38" spans="1:5" ht="26.25" x14ac:dyDescent="0.25">
      <c r="A38" s="165">
        <v>35</v>
      </c>
      <c r="B38" s="59" t="s">
        <v>101</v>
      </c>
      <c r="C38" s="50">
        <f t="shared" si="0"/>
        <v>170000</v>
      </c>
      <c r="D38" s="51">
        <v>130000</v>
      </c>
      <c r="E38" s="52">
        <v>40000</v>
      </c>
    </row>
    <row r="39" spans="1:5" ht="26.25" x14ac:dyDescent="0.25">
      <c r="A39" s="165">
        <v>36</v>
      </c>
      <c r="B39" s="59" t="s">
        <v>165</v>
      </c>
      <c r="C39" s="50">
        <f t="shared" si="0"/>
        <v>90000</v>
      </c>
      <c r="D39" s="51">
        <v>60000</v>
      </c>
      <c r="E39" s="52">
        <v>30000</v>
      </c>
    </row>
    <row r="40" spans="1:5" ht="26.25" x14ac:dyDescent="0.25">
      <c r="A40" s="165">
        <v>37</v>
      </c>
      <c r="B40" s="59" t="s">
        <v>166</v>
      </c>
      <c r="C40" s="50">
        <f t="shared" si="0"/>
        <v>130000</v>
      </c>
      <c r="D40" s="57">
        <v>100000</v>
      </c>
      <c r="E40" s="58">
        <v>30000</v>
      </c>
    </row>
    <row r="41" spans="1:5" x14ac:dyDescent="0.25">
      <c r="A41" s="129"/>
      <c r="B41" s="130" t="s">
        <v>51</v>
      </c>
      <c r="C41" s="55">
        <f>SUM(C36:C40)</f>
        <v>645000</v>
      </c>
      <c r="D41" s="55">
        <f>SUM(D36:D40)</f>
        <v>465000</v>
      </c>
      <c r="E41" s="55">
        <f>SUM(E36:E40)</f>
        <v>180000</v>
      </c>
    </row>
    <row r="42" spans="1:5" ht="26.25" x14ac:dyDescent="0.25">
      <c r="A42" s="165">
        <v>38</v>
      </c>
      <c r="B42" s="131" t="s">
        <v>167</v>
      </c>
      <c r="C42" s="50">
        <f>D42+E42</f>
        <v>30000</v>
      </c>
      <c r="D42" s="57">
        <v>30000</v>
      </c>
      <c r="E42" s="58">
        <v>0</v>
      </c>
    </row>
    <row r="43" spans="1:5" ht="51" x14ac:dyDescent="0.25">
      <c r="A43" s="165">
        <v>39</v>
      </c>
      <c r="B43" s="132" t="s">
        <v>168</v>
      </c>
      <c r="C43" s="50">
        <f t="shared" ref="C43:C45" si="2">D43+E43</f>
        <v>90000</v>
      </c>
      <c r="D43" s="57">
        <v>60000</v>
      </c>
      <c r="E43" s="58">
        <v>30000</v>
      </c>
    </row>
    <row r="44" spans="1:5" ht="15.75" customHeight="1" x14ac:dyDescent="0.25">
      <c r="A44" s="165">
        <v>40</v>
      </c>
      <c r="B44" s="132" t="s">
        <v>169</v>
      </c>
      <c r="C44" s="50">
        <f t="shared" si="2"/>
        <v>0</v>
      </c>
      <c r="D44" s="57"/>
      <c r="E44" s="58">
        <v>0</v>
      </c>
    </row>
    <row r="45" spans="1:5" ht="25.5" x14ac:dyDescent="0.25">
      <c r="A45" s="165">
        <v>41</v>
      </c>
      <c r="B45" s="132" t="s">
        <v>170</v>
      </c>
      <c r="C45" s="50">
        <f t="shared" si="2"/>
        <v>60000</v>
      </c>
      <c r="D45" s="57">
        <v>40000</v>
      </c>
      <c r="E45" s="58">
        <v>20000</v>
      </c>
    </row>
    <row r="46" spans="1:5" ht="30" customHeight="1" x14ac:dyDescent="0.25">
      <c r="A46" s="129"/>
      <c r="B46" s="130" t="s">
        <v>49</v>
      </c>
      <c r="C46" s="55">
        <f>SUM(C42:C45)</f>
        <v>180000</v>
      </c>
      <c r="D46" s="60">
        <f>SUM(D42:D45)</f>
        <v>130000</v>
      </c>
      <c r="E46" s="60">
        <f>SUM(E42:E45)</f>
        <v>50000</v>
      </c>
    </row>
    <row r="47" spans="1:5" ht="17.25" customHeight="1" x14ac:dyDescent="0.25">
      <c r="A47" s="165">
        <v>42</v>
      </c>
      <c r="B47" s="133" t="s">
        <v>171</v>
      </c>
      <c r="C47" s="50">
        <f>D47+E47</f>
        <v>40000</v>
      </c>
      <c r="D47" s="57">
        <v>40000</v>
      </c>
      <c r="E47" s="58">
        <v>0</v>
      </c>
    </row>
    <row r="48" spans="1:5" ht="26.25" x14ac:dyDescent="0.25">
      <c r="A48" s="165">
        <v>43</v>
      </c>
      <c r="B48" s="134" t="s">
        <v>172</v>
      </c>
      <c r="C48" s="50">
        <f>D48+E48</f>
        <v>30000</v>
      </c>
      <c r="D48" s="57">
        <v>20000</v>
      </c>
      <c r="E48" s="58">
        <v>10000</v>
      </c>
    </row>
    <row r="49" spans="1:5" x14ac:dyDescent="0.25">
      <c r="A49" s="129"/>
      <c r="B49" s="130" t="s">
        <v>46</v>
      </c>
      <c r="C49" s="55">
        <f>SUM(C47:C48)</f>
        <v>70000</v>
      </c>
      <c r="D49" s="60">
        <f>SUM(D47:D48)</f>
        <v>60000</v>
      </c>
      <c r="E49" s="55">
        <f>SUM(E47:E48)</f>
        <v>10000</v>
      </c>
    </row>
    <row r="50" spans="1:5" x14ac:dyDescent="0.25">
      <c r="A50" s="165">
        <v>44</v>
      </c>
      <c r="B50" s="135" t="s">
        <v>173</v>
      </c>
      <c r="C50" s="50">
        <f>D50+E50</f>
        <v>20000</v>
      </c>
      <c r="D50" s="57"/>
      <c r="E50" s="58">
        <v>20000</v>
      </c>
    </row>
    <row r="51" spans="1:5" x14ac:dyDescent="0.25">
      <c r="A51" s="129"/>
      <c r="B51" s="136" t="s">
        <v>174</v>
      </c>
      <c r="C51" s="55">
        <f>SUM(C50)</f>
        <v>20000</v>
      </c>
      <c r="D51" s="55">
        <f t="shared" ref="D51:E51" si="3">SUM(D50)</f>
        <v>0</v>
      </c>
      <c r="E51" s="55">
        <f t="shared" si="3"/>
        <v>20000</v>
      </c>
    </row>
    <row r="52" spans="1:5" x14ac:dyDescent="0.25">
      <c r="A52" s="165">
        <v>45</v>
      </c>
      <c r="B52" s="135" t="s">
        <v>175</v>
      </c>
      <c r="C52" s="50">
        <f>D52+E52</f>
        <v>20000</v>
      </c>
      <c r="D52" s="57">
        <v>20000</v>
      </c>
      <c r="E52" s="58">
        <v>0</v>
      </c>
    </row>
    <row r="53" spans="1:5" x14ac:dyDescent="0.25">
      <c r="A53" s="165">
        <v>46</v>
      </c>
      <c r="B53" s="131" t="s">
        <v>176</v>
      </c>
      <c r="C53" s="50">
        <f>D53+E53</f>
        <v>35000</v>
      </c>
      <c r="D53" s="57"/>
      <c r="E53" s="58">
        <v>35000</v>
      </c>
    </row>
    <row r="54" spans="1:5" x14ac:dyDescent="0.25">
      <c r="A54" s="129"/>
      <c r="B54" s="130" t="s">
        <v>47</v>
      </c>
      <c r="C54" s="55">
        <f>SUM(C52:C53)</f>
        <v>55000</v>
      </c>
      <c r="D54" s="60">
        <f>SUM(D52:D53)</f>
        <v>20000</v>
      </c>
      <c r="E54" s="61">
        <f>SUM(E52:E53)</f>
        <v>35000</v>
      </c>
    </row>
    <row r="55" spans="1:5" x14ac:dyDescent="0.25">
      <c r="A55" s="165">
        <v>47</v>
      </c>
      <c r="B55" s="131" t="s">
        <v>177</v>
      </c>
      <c r="C55" s="50">
        <f>D55+E55</f>
        <v>40000</v>
      </c>
      <c r="D55" s="57">
        <v>25000</v>
      </c>
      <c r="E55" s="58">
        <v>15000</v>
      </c>
    </row>
    <row r="56" spans="1:5" x14ac:dyDescent="0.25">
      <c r="A56" s="129"/>
      <c r="B56" s="130" t="s">
        <v>48</v>
      </c>
      <c r="C56" s="55">
        <f>SUM(C55:C55)</f>
        <v>40000</v>
      </c>
      <c r="D56" s="60">
        <f>SUM(D55:D55)</f>
        <v>25000</v>
      </c>
      <c r="E56" s="55">
        <f>SUM(E55:E55)</f>
        <v>15000</v>
      </c>
    </row>
    <row r="57" spans="1:5" x14ac:dyDescent="0.25">
      <c r="A57" s="165">
        <v>48</v>
      </c>
      <c r="B57" s="159" t="s">
        <v>178</v>
      </c>
      <c r="C57" s="50">
        <f>D57+E57</f>
        <v>0</v>
      </c>
      <c r="D57" s="84"/>
      <c r="E57" s="58"/>
    </row>
    <row r="58" spans="1:5" x14ac:dyDescent="0.25">
      <c r="A58" s="129"/>
      <c r="B58" s="130" t="s">
        <v>100</v>
      </c>
      <c r="C58" s="55">
        <f>C57</f>
        <v>0</v>
      </c>
      <c r="D58" s="55">
        <f t="shared" ref="D58:E58" si="4">D57</f>
        <v>0</v>
      </c>
      <c r="E58" s="55">
        <f t="shared" si="4"/>
        <v>0</v>
      </c>
    </row>
    <row r="59" spans="1:5" ht="26.25" x14ac:dyDescent="0.25">
      <c r="A59" s="165">
        <v>49</v>
      </c>
      <c r="B59" s="59" t="s">
        <v>179</v>
      </c>
      <c r="C59" s="50">
        <f>D59+E59</f>
        <v>130000</v>
      </c>
      <c r="D59" s="57">
        <v>70000</v>
      </c>
      <c r="E59" s="58">
        <v>60000</v>
      </c>
    </row>
    <row r="60" spans="1:5" x14ac:dyDescent="0.25">
      <c r="A60" s="53"/>
      <c r="B60" s="54" t="s">
        <v>45</v>
      </c>
      <c r="C60" s="55">
        <f>SUM(C59:C59)</f>
        <v>130000</v>
      </c>
      <c r="D60" s="60">
        <f>SUM(D59:D59)</f>
        <v>70000</v>
      </c>
      <c r="E60" s="55">
        <f>SUM(E59:E59)</f>
        <v>60000</v>
      </c>
    </row>
    <row r="61" spans="1:5" x14ac:dyDescent="0.25">
      <c r="A61" s="166"/>
      <c r="B61" s="167" t="s">
        <v>50</v>
      </c>
      <c r="C61" s="62">
        <f>C35+C41+C46+C49+C51+C54+C56+C58+C60</f>
        <v>4100000</v>
      </c>
      <c r="D61" s="62">
        <f t="shared" ref="D61:E61" si="5">D35+D41+D46+D49+D51+D54+D56+D58+D60</f>
        <v>2610000</v>
      </c>
      <c r="E61" s="62">
        <f t="shared" si="5"/>
        <v>1490000</v>
      </c>
    </row>
  </sheetData>
  <pageMargins left="0" right="0" top="0.15748031496062992" bottom="0" header="0.31496062992125984" footer="0.31496062992125984"/>
  <pageSetup paperSize="9" orientation="portrait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1"/>
  <sheetViews>
    <sheetView topLeftCell="A10" zoomScaleNormal="100" workbookViewId="0">
      <selection activeCell="M27" sqref="M27"/>
    </sheetView>
  </sheetViews>
  <sheetFormatPr defaultRowHeight="15" x14ac:dyDescent="0.25"/>
  <cols>
    <col min="1" max="1" width="3.42578125" customWidth="1"/>
    <col min="2" max="2" width="49.42578125" customWidth="1"/>
    <col min="3" max="3" width="15.42578125" customWidth="1"/>
    <col min="4" max="4" width="15.140625" customWidth="1"/>
    <col min="5" max="5" width="15.42578125" customWidth="1"/>
  </cols>
  <sheetData>
    <row r="1" spans="1:5" x14ac:dyDescent="0.25">
      <c r="A1" s="124"/>
      <c r="B1" s="124" t="s">
        <v>97</v>
      </c>
      <c r="C1" s="166"/>
      <c r="D1" s="47"/>
      <c r="E1" s="48"/>
    </row>
    <row r="2" spans="1:5" x14ac:dyDescent="0.25">
      <c r="A2" s="124"/>
      <c r="B2" s="124" t="s">
        <v>108</v>
      </c>
      <c r="C2" s="137" t="s">
        <v>41</v>
      </c>
      <c r="D2" s="138">
        <v>10</v>
      </c>
      <c r="E2" s="138">
        <v>21</v>
      </c>
    </row>
    <row r="3" spans="1:5" ht="39" x14ac:dyDescent="0.25">
      <c r="A3" s="165">
        <v>1</v>
      </c>
      <c r="B3" s="59" t="s">
        <v>180</v>
      </c>
      <c r="C3" s="50">
        <f>D3+E3</f>
        <v>50000</v>
      </c>
      <c r="D3" s="51">
        <v>50000</v>
      </c>
      <c r="E3" s="52"/>
    </row>
    <row r="4" spans="1:5" ht="26.25" x14ac:dyDescent="0.25">
      <c r="A4" s="165">
        <v>2</v>
      </c>
      <c r="B4" s="59" t="s">
        <v>136</v>
      </c>
      <c r="C4" s="50">
        <f t="shared" ref="C4:C34" si="0">D4+E4</f>
        <v>35000</v>
      </c>
      <c r="D4" s="51">
        <v>35000</v>
      </c>
      <c r="E4" s="52"/>
    </row>
    <row r="5" spans="1:5" x14ac:dyDescent="0.25">
      <c r="A5" s="165">
        <v>3</v>
      </c>
      <c r="B5" s="49" t="s">
        <v>42</v>
      </c>
      <c r="C5" s="50">
        <f t="shared" si="0"/>
        <v>2275000</v>
      </c>
      <c r="D5" s="51">
        <v>1575000</v>
      </c>
      <c r="E5" s="52">
        <v>700000</v>
      </c>
    </row>
    <row r="6" spans="1:5" ht="26.25" x14ac:dyDescent="0.25">
      <c r="A6" s="165">
        <v>4</v>
      </c>
      <c r="B6" s="59" t="s">
        <v>96</v>
      </c>
      <c r="C6" s="50">
        <f t="shared" si="0"/>
        <v>30000</v>
      </c>
      <c r="D6" s="51">
        <v>30000</v>
      </c>
      <c r="E6" s="52"/>
    </row>
    <row r="7" spans="1:5" ht="39" x14ac:dyDescent="0.25">
      <c r="A7" s="165">
        <v>5</v>
      </c>
      <c r="B7" s="59" t="s">
        <v>137</v>
      </c>
      <c r="C7" s="50">
        <f t="shared" si="0"/>
        <v>360000</v>
      </c>
      <c r="D7" s="51">
        <v>310000</v>
      </c>
      <c r="E7" s="52">
        <v>50000</v>
      </c>
    </row>
    <row r="8" spans="1:5" ht="26.25" x14ac:dyDescent="0.25">
      <c r="A8" s="165">
        <v>6</v>
      </c>
      <c r="B8" s="59" t="s">
        <v>138</v>
      </c>
      <c r="C8" s="50">
        <f t="shared" si="0"/>
        <v>40000</v>
      </c>
      <c r="D8" s="51">
        <v>40000</v>
      </c>
      <c r="E8" s="52"/>
    </row>
    <row r="9" spans="1:5" ht="26.25" x14ac:dyDescent="0.25">
      <c r="A9" s="165">
        <v>7</v>
      </c>
      <c r="B9" s="59" t="s">
        <v>139</v>
      </c>
      <c r="C9" s="50">
        <f t="shared" si="0"/>
        <v>40000</v>
      </c>
      <c r="D9" s="51">
        <v>40000</v>
      </c>
      <c r="E9" s="52">
        <v>0</v>
      </c>
    </row>
    <row r="10" spans="1:5" ht="39" x14ac:dyDescent="0.25">
      <c r="A10" s="165">
        <v>8</v>
      </c>
      <c r="B10" s="59" t="s">
        <v>140</v>
      </c>
      <c r="C10" s="50">
        <f t="shared" si="0"/>
        <v>50000</v>
      </c>
      <c r="D10" s="51">
        <v>40000</v>
      </c>
      <c r="E10" s="52">
        <v>10000</v>
      </c>
    </row>
    <row r="11" spans="1:5" ht="26.25" x14ac:dyDescent="0.25">
      <c r="A11" s="165">
        <v>9</v>
      </c>
      <c r="B11" s="59" t="s">
        <v>141</v>
      </c>
      <c r="C11" s="50">
        <f t="shared" si="0"/>
        <v>30000</v>
      </c>
      <c r="D11" s="51">
        <v>30000</v>
      </c>
      <c r="E11" s="52"/>
    </row>
    <row r="12" spans="1:5" x14ac:dyDescent="0.25">
      <c r="A12" s="165">
        <v>10</v>
      </c>
      <c r="B12" s="59" t="s">
        <v>142</v>
      </c>
      <c r="C12" s="50">
        <f t="shared" si="0"/>
        <v>10000</v>
      </c>
      <c r="D12" s="51">
        <v>0</v>
      </c>
      <c r="E12" s="52">
        <v>10000</v>
      </c>
    </row>
    <row r="13" spans="1:5" ht="26.25" x14ac:dyDescent="0.25">
      <c r="A13" s="165">
        <v>11</v>
      </c>
      <c r="B13" s="59" t="s">
        <v>143</v>
      </c>
      <c r="C13" s="50">
        <f t="shared" si="0"/>
        <v>50000</v>
      </c>
      <c r="D13" s="51">
        <v>50000</v>
      </c>
      <c r="E13" s="52">
        <v>0</v>
      </c>
    </row>
    <row r="14" spans="1:5" ht="26.25" x14ac:dyDescent="0.25">
      <c r="A14" s="165">
        <v>12</v>
      </c>
      <c r="B14" s="59" t="s">
        <v>144</v>
      </c>
      <c r="C14" s="50">
        <f t="shared" si="0"/>
        <v>30000</v>
      </c>
      <c r="D14" s="51">
        <v>30000</v>
      </c>
      <c r="E14" s="52"/>
    </row>
    <row r="15" spans="1:5" ht="26.25" x14ac:dyDescent="0.25">
      <c r="A15" s="165">
        <v>13</v>
      </c>
      <c r="B15" s="59" t="s">
        <v>145</v>
      </c>
      <c r="C15" s="50">
        <f t="shared" si="0"/>
        <v>30000</v>
      </c>
      <c r="D15" s="51">
        <v>30000</v>
      </c>
      <c r="E15" s="52"/>
    </row>
    <row r="16" spans="1:5" ht="26.25" x14ac:dyDescent="0.25">
      <c r="A16" s="165">
        <v>14</v>
      </c>
      <c r="B16" s="128" t="s">
        <v>181</v>
      </c>
      <c r="C16" s="50">
        <f t="shared" si="0"/>
        <v>30000</v>
      </c>
      <c r="D16" s="51">
        <v>30000</v>
      </c>
      <c r="E16" s="52"/>
    </row>
    <row r="17" spans="1:5" ht="26.25" x14ac:dyDescent="0.25">
      <c r="A17" s="165">
        <v>15</v>
      </c>
      <c r="B17" s="59" t="s">
        <v>182</v>
      </c>
      <c r="C17" s="50">
        <f t="shared" si="0"/>
        <v>30000</v>
      </c>
      <c r="D17" s="51">
        <v>30000</v>
      </c>
      <c r="E17" s="52"/>
    </row>
    <row r="18" spans="1:5" ht="26.25" x14ac:dyDescent="0.25">
      <c r="A18" s="165">
        <v>16</v>
      </c>
      <c r="B18" s="128" t="s">
        <v>183</v>
      </c>
      <c r="C18" s="50">
        <f t="shared" si="0"/>
        <v>40000</v>
      </c>
      <c r="D18" s="51">
        <v>40000</v>
      </c>
      <c r="E18" s="52"/>
    </row>
    <row r="19" spans="1:5" ht="26.25" x14ac:dyDescent="0.25">
      <c r="A19" s="165">
        <v>17</v>
      </c>
      <c r="B19" s="128" t="s">
        <v>229</v>
      </c>
      <c r="C19" s="50">
        <f t="shared" si="0"/>
        <v>20000</v>
      </c>
      <c r="D19" s="51">
        <v>20000</v>
      </c>
      <c r="E19" s="52"/>
    </row>
    <row r="20" spans="1:5" ht="26.25" x14ac:dyDescent="0.25">
      <c r="A20" s="165">
        <v>18</v>
      </c>
      <c r="B20" s="128" t="s">
        <v>230</v>
      </c>
      <c r="C20" s="50">
        <f t="shared" si="0"/>
        <v>30000</v>
      </c>
      <c r="D20" s="51">
        <v>30000</v>
      </c>
      <c r="E20" s="52"/>
    </row>
    <row r="21" spans="1:5" ht="26.25" x14ac:dyDescent="0.25">
      <c r="A21" s="165">
        <v>19</v>
      </c>
      <c r="B21" s="59" t="s">
        <v>151</v>
      </c>
      <c r="C21" s="50">
        <f t="shared" si="0"/>
        <v>30000</v>
      </c>
      <c r="D21" s="51">
        <v>30000</v>
      </c>
      <c r="E21" s="52"/>
    </row>
    <row r="22" spans="1:5" ht="39" x14ac:dyDescent="0.25">
      <c r="A22" s="165">
        <v>20</v>
      </c>
      <c r="B22" s="59" t="s">
        <v>152</v>
      </c>
      <c r="C22" s="50">
        <f t="shared" si="0"/>
        <v>50000</v>
      </c>
      <c r="D22" s="51">
        <v>50000</v>
      </c>
      <c r="E22" s="52"/>
    </row>
    <row r="23" spans="1:5" ht="26.25" x14ac:dyDescent="0.25">
      <c r="A23" s="165">
        <v>21</v>
      </c>
      <c r="B23" s="59" t="s">
        <v>99</v>
      </c>
      <c r="C23" s="50">
        <f t="shared" si="0"/>
        <v>10000</v>
      </c>
      <c r="D23" s="51">
        <v>10000</v>
      </c>
      <c r="E23" s="52">
        <v>0</v>
      </c>
    </row>
    <row r="24" spans="1:5" ht="26.25" x14ac:dyDescent="0.25">
      <c r="A24" s="165">
        <v>22</v>
      </c>
      <c r="B24" s="59" t="s">
        <v>154</v>
      </c>
      <c r="C24" s="50">
        <f t="shared" si="0"/>
        <v>50000</v>
      </c>
      <c r="D24" s="51">
        <v>40000</v>
      </c>
      <c r="E24" s="52">
        <v>10000</v>
      </c>
    </row>
    <row r="25" spans="1:5" ht="26.25" x14ac:dyDescent="0.25">
      <c r="A25" s="165">
        <v>23</v>
      </c>
      <c r="B25" s="128" t="s">
        <v>185</v>
      </c>
      <c r="C25" s="50">
        <f t="shared" si="0"/>
        <v>130000</v>
      </c>
      <c r="D25" s="51">
        <v>100000</v>
      </c>
      <c r="E25" s="52">
        <v>30000</v>
      </c>
    </row>
    <row r="26" spans="1:5" ht="26.25" x14ac:dyDescent="0.25">
      <c r="A26" s="165">
        <v>24</v>
      </c>
      <c r="B26" s="59" t="s">
        <v>186</v>
      </c>
      <c r="C26" s="50">
        <f t="shared" si="0"/>
        <v>30000</v>
      </c>
      <c r="D26" s="51">
        <v>30000</v>
      </c>
      <c r="E26" s="52"/>
    </row>
    <row r="27" spans="1:5" ht="26.25" x14ac:dyDescent="0.25">
      <c r="A27" s="165">
        <v>25</v>
      </c>
      <c r="B27" s="128" t="s">
        <v>187</v>
      </c>
      <c r="C27" s="50">
        <f t="shared" si="0"/>
        <v>25000</v>
      </c>
      <c r="D27" s="51">
        <v>25000</v>
      </c>
      <c r="E27" s="52"/>
    </row>
    <row r="28" spans="1:5" x14ac:dyDescent="0.25">
      <c r="A28" s="165">
        <v>27</v>
      </c>
      <c r="B28" s="128" t="s">
        <v>161</v>
      </c>
      <c r="C28" s="50">
        <f t="shared" si="0"/>
        <v>30000</v>
      </c>
      <c r="D28" s="51">
        <v>30000</v>
      </c>
      <c r="E28" s="52"/>
    </row>
    <row r="29" spans="1:5" x14ac:dyDescent="0.25">
      <c r="A29" s="165">
        <v>28</v>
      </c>
      <c r="B29" s="128" t="s">
        <v>188</v>
      </c>
      <c r="C29" s="50">
        <f t="shared" si="0"/>
        <v>150000</v>
      </c>
      <c r="D29" s="57">
        <v>100000</v>
      </c>
      <c r="E29" s="57">
        <v>50000</v>
      </c>
    </row>
    <row r="30" spans="1:5" x14ac:dyDescent="0.25">
      <c r="A30" s="165"/>
      <c r="B30" s="128" t="s">
        <v>189</v>
      </c>
      <c r="C30" s="50">
        <f t="shared" si="0"/>
        <v>20000</v>
      </c>
      <c r="D30" s="57"/>
      <c r="E30" s="57">
        <v>20000</v>
      </c>
    </row>
    <row r="31" spans="1:5" x14ac:dyDescent="0.25">
      <c r="A31" s="165"/>
      <c r="B31" s="59" t="s">
        <v>190</v>
      </c>
      <c r="C31" s="50">
        <f t="shared" si="0"/>
        <v>50000</v>
      </c>
      <c r="D31" s="52">
        <v>30000</v>
      </c>
      <c r="E31" s="52">
        <v>20000</v>
      </c>
    </row>
    <row r="32" spans="1:5" x14ac:dyDescent="0.25">
      <c r="A32" s="165"/>
      <c r="B32" s="59" t="s">
        <v>227</v>
      </c>
      <c r="C32" s="50">
        <f t="shared" si="0"/>
        <v>50000</v>
      </c>
      <c r="D32" s="52"/>
      <c r="E32" s="52">
        <v>50000</v>
      </c>
    </row>
    <row r="33" spans="1:5" x14ac:dyDescent="0.25">
      <c r="A33" s="165"/>
      <c r="B33" s="59" t="s">
        <v>228</v>
      </c>
      <c r="C33" s="50">
        <f t="shared" si="0"/>
        <v>15000</v>
      </c>
      <c r="D33" s="52"/>
      <c r="E33" s="52">
        <v>15000</v>
      </c>
    </row>
    <row r="34" spans="1:5" x14ac:dyDescent="0.25">
      <c r="A34" s="165">
        <v>30</v>
      </c>
      <c r="B34" s="59" t="s">
        <v>159</v>
      </c>
      <c r="C34" s="50">
        <f t="shared" si="0"/>
        <v>10000</v>
      </c>
      <c r="D34" s="52">
        <v>10000</v>
      </c>
      <c r="E34" s="52"/>
    </row>
    <row r="35" spans="1:5" x14ac:dyDescent="0.25">
      <c r="A35" s="129"/>
      <c r="B35" s="130" t="s">
        <v>44</v>
      </c>
      <c r="C35" s="55">
        <f>SUM(C3:C34)</f>
        <v>3830000</v>
      </c>
      <c r="D35" s="55">
        <f>SUM(D3:D34)</f>
        <v>2865000</v>
      </c>
      <c r="E35" s="55">
        <f>SUM(E3:E34)</f>
        <v>965000</v>
      </c>
    </row>
    <row r="36" spans="1:5" ht="26.25" x14ac:dyDescent="0.25">
      <c r="A36" s="165">
        <v>31</v>
      </c>
      <c r="B36" s="59" t="s">
        <v>163</v>
      </c>
      <c r="C36" s="50">
        <f t="shared" ref="C36:C40" si="1">D36+E36</f>
        <v>50000</v>
      </c>
      <c r="D36" s="51">
        <v>50000</v>
      </c>
      <c r="E36" s="52"/>
    </row>
    <row r="37" spans="1:5" ht="39" x14ac:dyDescent="0.25">
      <c r="A37" s="165">
        <v>32</v>
      </c>
      <c r="B37" s="59" t="s">
        <v>164</v>
      </c>
      <c r="C37" s="50">
        <f t="shared" si="1"/>
        <v>50000</v>
      </c>
      <c r="D37" s="51">
        <v>50000</v>
      </c>
      <c r="E37" s="52">
        <v>0</v>
      </c>
    </row>
    <row r="38" spans="1:5" ht="26.25" x14ac:dyDescent="0.25">
      <c r="A38" s="165">
        <v>33</v>
      </c>
      <c r="B38" s="59" t="s">
        <v>101</v>
      </c>
      <c r="C38" s="50">
        <f t="shared" si="1"/>
        <v>10000</v>
      </c>
      <c r="D38" s="51">
        <v>10000</v>
      </c>
      <c r="E38" s="52"/>
    </row>
    <row r="39" spans="1:5" ht="26.25" x14ac:dyDescent="0.25">
      <c r="A39" s="165">
        <v>36</v>
      </c>
      <c r="B39" s="59" t="s">
        <v>165</v>
      </c>
      <c r="C39" s="50">
        <f t="shared" si="1"/>
        <v>100000</v>
      </c>
      <c r="D39" s="51">
        <v>50000</v>
      </c>
      <c r="E39" s="52">
        <v>50000</v>
      </c>
    </row>
    <row r="40" spans="1:5" ht="26.25" x14ac:dyDescent="0.25">
      <c r="A40" s="165">
        <v>38</v>
      </c>
      <c r="B40" s="59" t="s">
        <v>166</v>
      </c>
      <c r="C40" s="50">
        <f t="shared" si="1"/>
        <v>80000</v>
      </c>
      <c r="D40" s="51">
        <v>60000</v>
      </c>
      <c r="E40" s="52">
        <v>20000</v>
      </c>
    </row>
    <row r="41" spans="1:5" x14ac:dyDescent="0.25">
      <c r="A41" s="129"/>
      <c r="B41" s="130" t="s">
        <v>51</v>
      </c>
      <c r="C41" s="55">
        <f>SUM(C36:C40)</f>
        <v>290000</v>
      </c>
      <c r="D41" s="55">
        <f t="shared" ref="D41:E41" si="2">SUM(D36:D40)</f>
        <v>220000</v>
      </c>
      <c r="E41" s="55">
        <f t="shared" si="2"/>
        <v>70000</v>
      </c>
    </row>
    <row r="42" spans="1:5" ht="17.25" customHeight="1" x14ac:dyDescent="0.25">
      <c r="A42" s="165">
        <v>39</v>
      </c>
      <c r="B42" s="131" t="s">
        <v>191</v>
      </c>
      <c r="C42" s="50">
        <f t="shared" ref="C42:C45" si="3">D42+E42</f>
        <v>30000</v>
      </c>
      <c r="D42" s="57">
        <v>30000</v>
      </c>
      <c r="E42" s="58">
        <v>0</v>
      </c>
    </row>
    <row r="43" spans="1:5" ht="51" x14ac:dyDescent="0.25">
      <c r="A43" s="165">
        <v>40</v>
      </c>
      <c r="B43" s="132" t="s">
        <v>192</v>
      </c>
      <c r="C43" s="50">
        <f t="shared" si="3"/>
        <v>60000</v>
      </c>
      <c r="D43" s="57">
        <v>60000</v>
      </c>
      <c r="E43" s="58"/>
    </row>
    <row r="44" spans="1:5" ht="28.9" customHeight="1" x14ac:dyDescent="0.25">
      <c r="A44" s="165">
        <v>41</v>
      </c>
      <c r="B44" s="132" t="s">
        <v>169</v>
      </c>
      <c r="C44" s="50">
        <f t="shared" si="3"/>
        <v>0</v>
      </c>
      <c r="D44" s="57">
        <v>0</v>
      </c>
      <c r="E44" s="58">
        <v>0</v>
      </c>
    </row>
    <row r="45" spans="1:5" ht="19.5" customHeight="1" x14ac:dyDescent="0.25">
      <c r="A45" s="165">
        <v>42</v>
      </c>
      <c r="B45" s="132" t="s">
        <v>170</v>
      </c>
      <c r="C45" s="50">
        <f t="shared" si="3"/>
        <v>60000</v>
      </c>
      <c r="D45" s="57">
        <v>60000</v>
      </c>
      <c r="E45" s="58">
        <v>0</v>
      </c>
    </row>
    <row r="46" spans="1:5" x14ac:dyDescent="0.25">
      <c r="A46" s="129"/>
      <c r="B46" s="130" t="s">
        <v>49</v>
      </c>
      <c r="C46" s="55">
        <f>SUM(C42:C45)</f>
        <v>150000</v>
      </c>
      <c r="D46" s="55">
        <f t="shared" ref="D46:E46" si="4">SUM(D42:D45)</f>
        <v>150000</v>
      </c>
      <c r="E46" s="55">
        <f t="shared" si="4"/>
        <v>0</v>
      </c>
    </row>
    <row r="47" spans="1:5" x14ac:dyDescent="0.25">
      <c r="A47" s="165">
        <v>43</v>
      </c>
      <c r="B47" s="133" t="s">
        <v>171</v>
      </c>
      <c r="C47" s="50">
        <f t="shared" ref="C47:C48" si="5">D47+E47</f>
        <v>30000</v>
      </c>
      <c r="D47" s="57">
        <v>30000</v>
      </c>
      <c r="E47" s="58"/>
    </row>
    <row r="48" spans="1:5" ht="26.25" x14ac:dyDescent="0.25">
      <c r="A48" s="165">
        <v>44</v>
      </c>
      <c r="B48" s="134" t="s">
        <v>193</v>
      </c>
      <c r="C48" s="50">
        <f t="shared" si="5"/>
        <v>15000</v>
      </c>
      <c r="D48" s="57">
        <v>15000</v>
      </c>
      <c r="E48" s="58">
        <v>0</v>
      </c>
    </row>
    <row r="49" spans="1:5" x14ac:dyDescent="0.25">
      <c r="A49" s="129"/>
      <c r="B49" s="130" t="s">
        <v>46</v>
      </c>
      <c r="C49" s="55">
        <f>SUM(C47:C48)</f>
        <v>45000</v>
      </c>
      <c r="D49" s="55">
        <f t="shared" ref="D49:E49" si="6">SUM(D47:D48)</f>
        <v>45000</v>
      </c>
      <c r="E49" s="55">
        <f t="shared" si="6"/>
        <v>0</v>
      </c>
    </row>
    <row r="50" spans="1:5" x14ac:dyDescent="0.25">
      <c r="A50" s="165">
        <v>45</v>
      </c>
      <c r="B50" s="135" t="s">
        <v>194</v>
      </c>
      <c r="C50" s="50">
        <f>D50+E50</f>
        <v>0</v>
      </c>
      <c r="D50" s="57">
        <v>0</v>
      </c>
      <c r="E50" s="58">
        <v>0</v>
      </c>
    </row>
    <row r="51" spans="1:5" x14ac:dyDescent="0.25">
      <c r="A51" s="129"/>
      <c r="B51" s="136" t="s">
        <v>174</v>
      </c>
      <c r="C51" s="55">
        <f>SUM(C50)</f>
        <v>0</v>
      </c>
      <c r="D51" s="55">
        <f t="shared" ref="D51:E51" si="7">SUM(D50)</f>
        <v>0</v>
      </c>
      <c r="E51" s="55">
        <f t="shared" si="7"/>
        <v>0</v>
      </c>
    </row>
    <row r="52" spans="1:5" x14ac:dyDescent="0.25">
      <c r="A52" s="165">
        <v>46</v>
      </c>
      <c r="B52" s="135" t="s">
        <v>195</v>
      </c>
      <c r="C52" s="50">
        <f t="shared" ref="C52:C53" si="8">D52+E52</f>
        <v>35000</v>
      </c>
      <c r="D52" s="57">
        <v>35000</v>
      </c>
      <c r="E52" s="58"/>
    </row>
    <row r="53" spans="1:5" ht="16.5" customHeight="1" x14ac:dyDescent="0.25">
      <c r="A53" s="165">
        <v>47</v>
      </c>
      <c r="B53" s="131" t="s">
        <v>176</v>
      </c>
      <c r="C53" s="50">
        <f t="shared" si="8"/>
        <v>0</v>
      </c>
      <c r="D53" s="57"/>
      <c r="E53" s="58"/>
    </row>
    <row r="54" spans="1:5" x14ac:dyDescent="0.25">
      <c r="A54" s="129"/>
      <c r="B54" s="130" t="s">
        <v>47</v>
      </c>
      <c r="C54" s="55">
        <f>SUM(C52:C53)</f>
        <v>35000</v>
      </c>
      <c r="D54" s="55">
        <f t="shared" ref="D54:E54" si="9">SUM(D52:D53)</f>
        <v>35000</v>
      </c>
      <c r="E54" s="55">
        <f t="shared" si="9"/>
        <v>0</v>
      </c>
    </row>
    <row r="55" spans="1:5" ht="26.25" x14ac:dyDescent="0.25">
      <c r="A55" s="165">
        <v>48</v>
      </c>
      <c r="B55" s="131" t="s">
        <v>196</v>
      </c>
      <c r="C55" s="50">
        <f>D55+E55</f>
        <v>30000</v>
      </c>
      <c r="D55" s="57">
        <v>30000</v>
      </c>
      <c r="E55" s="58"/>
    </row>
    <row r="56" spans="1:5" x14ac:dyDescent="0.25">
      <c r="A56" s="129"/>
      <c r="B56" s="130" t="s">
        <v>48</v>
      </c>
      <c r="C56" s="55">
        <f>SUM(C55:C55)</f>
        <v>30000</v>
      </c>
      <c r="D56" s="55">
        <f t="shared" ref="D56:E56" si="10">SUM(D55:D55)</f>
        <v>30000</v>
      </c>
      <c r="E56" s="55">
        <f t="shared" si="10"/>
        <v>0</v>
      </c>
    </row>
    <row r="57" spans="1:5" x14ac:dyDescent="0.25">
      <c r="A57" s="168">
        <v>49</v>
      </c>
      <c r="B57" s="159" t="s">
        <v>178</v>
      </c>
      <c r="C57" s="50">
        <f>D57+E57</f>
        <v>0</v>
      </c>
      <c r="D57" s="84"/>
      <c r="E57" s="58">
        <v>0</v>
      </c>
    </row>
    <row r="58" spans="1:5" x14ac:dyDescent="0.25">
      <c r="A58" s="129"/>
      <c r="B58" s="130" t="s">
        <v>100</v>
      </c>
      <c r="C58" s="55">
        <f>C57</f>
        <v>0</v>
      </c>
      <c r="D58" s="55">
        <f t="shared" ref="D58:E58" si="11">D57</f>
        <v>0</v>
      </c>
      <c r="E58" s="55">
        <f t="shared" si="11"/>
        <v>0</v>
      </c>
    </row>
    <row r="59" spans="1:5" ht="26.25" x14ac:dyDescent="0.25">
      <c r="A59" s="165">
        <v>50</v>
      </c>
      <c r="B59" s="59" t="s">
        <v>179</v>
      </c>
      <c r="C59" s="50">
        <f>D59+E59</f>
        <v>120000</v>
      </c>
      <c r="D59" s="57">
        <v>80000</v>
      </c>
      <c r="E59" s="58">
        <v>40000</v>
      </c>
    </row>
    <row r="60" spans="1:5" x14ac:dyDescent="0.25">
      <c r="A60" s="53"/>
      <c r="B60" s="54" t="s">
        <v>45</v>
      </c>
      <c r="C60" s="55">
        <f>SUM(C59:C59)</f>
        <v>120000</v>
      </c>
      <c r="D60" s="55">
        <f t="shared" ref="D60:E60" si="12">SUM(D59:D59)</f>
        <v>80000</v>
      </c>
      <c r="E60" s="55">
        <f t="shared" si="12"/>
        <v>40000</v>
      </c>
    </row>
    <row r="61" spans="1:5" x14ac:dyDescent="0.25">
      <c r="A61" s="169"/>
      <c r="B61" s="167" t="s">
        <v>50</v>
      </c>
      <c r="C61" s="170">
        <f>C35+C41+C46+C49+C51+C54+C56+C58+C60</f>
        <v>4500000</v>
      </c>
      <c r="D61" s="62">
        <f t="shared" ref="D61:E61" si="13">D35+D41+D46+D49+D51+D54+D56+D58+D60</f>
        <v>3425000</v>
      </c>
      <c r="E61" s="62">
        <f t="shared" si="13"/>
        <v>1075000</v>
      </c>
    </row>
  </sheetData>
  <pageMargins left="0" right="0" top="0.35433070866141736" bottom="0.19685039370078741" header="0.31496062992125984" footer="0.31496062992125984"/>
  <pageSetup paperSize="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</vt:i4>
      </vt:variant>
    </vt:vector>
  </HeadingPairs>
  <TitlesOfParts>
    <vt:vector size="14" baseType="lpstr">
      <vt:lpstr>Tabela 1.</vt:lpstr>
      <vt:lpstr>Tabela 3.</vt:lpstr>
      <vt:lpstr>Tabela 6.</vt:lpstr>
      <vt:lpstr>Tabela 7.</vt:lpstr>
      <vt:lpstr>Tabela 8.</vt:lpstr>
      <vt:lpstr>Tabela 9.</vt:lpstr>
      <vt:lpstr>Tabela 10.</vt:lpstr>
      <vt:lpstr>Projektet 2026</vt:lpstr>
      <vt:lpstr>Projektet 2027</vt:lpstr>
      <vt:lpstr>Projektet 2028</vt:lpstr>
      <vt:lpstr>Tabela.11</vt:lpstr>
      <vt:lpstr>Tabela 12.</vt:lpstr>
      <vt:lpstr>Tabela 13.</vt:lpstr>
      <vt:lpstr>'Projektet 2026'!Print_Area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2025-07-17T08:14:32Z</dcterms:modified>
</cp:coreProperties>
</file>