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 filterPrivacy="1" defaultThemeVersion="124226"/>
  <xr:revisionPtr revIDLastSave="0" documentId="13_ncr:1_{AEF37FA7-7F5E-4805-B884-E8AE99FB83BE}" xr6:coauthVersionLast="36" xr6:coauthVersionMax="36" xr10:uidLastSave="{00000000-0000-0000-0000-000000000000}"/>
  <bookViews>
    <workbookView xWindow="0" yWindow="0" windowWidth="23040" windowHeight="8808" xr2:uid="{00000000-000D-0000-FFFF-FFFF00000000}"/>
  </bookViews>
  <sheets>
    <sheet name="Tabela 1." sheetId="1" r:id="rId1"/>
    <sheet name="Tabela 3." sheetId="10" r:id="rId2"/>
    <sheet name="Tabela 6." sheetId="2" r:id="rId3"/>
    <sheet name="Tabela 7." sheetId="23" r:id="rId4"/>
    <sheet name="Tabela 8." sheetId="24" r:id="rId5"/>
    <sheet name="Tabela 9." sheetId="25" r:id="rId6"/>
    <sheet name="Projektet 2025" sheetId="26" r:id="rId7"/>
    <sheet name="Projektet 2026" sheetId="27" r:id="rId8"/>
    <sheet name="Projektet 2027" sheetId="28" r:id="rId9"/>
    <sheet name="Tabela.11" sheetId="17" r:id="rId10"/>
    <sheet name="Tabela 13. (2)" sheetId="22" r:id="rId11"/>
  </sheets>
  <definedNames>
    <definedName name="_xlnm.Print_Area" localSheetId="6">'Projektet 2025'!$A$1:$E$58</definedName>
    <definedName name="_xlnm.Print_Area" localSheetId="7">'Projektet 2026'!#REF!</definedName>
    <definedName name="_xlnm.Print_Area" localSheetId="8">'Projektet 2027'!#REF!</definedName>
  </definedNames>
  <calcPr calcId="191029"/>
</workbook>
</file>

<file path=xl/calcChain.xml><?xml version="1.0" encoding="utf-8"?>
<calcChain xmlns="http://schemas.openxmlformats.org/spreadsheetml/2006/main">
  <c r="E32" i="28" l="1"/>
  <c r="D32" i="28"/>
  <c r="D58" i="28" s="1"/>
  <c r="E43" i="28"/>
  <c r="D43" i="28"/>
  <c r="C56" i="28"/>
  <c r="C54" i="28"/>
  <c r="C52" i="28"/>
  <c r="C50" i="28"/>
  <c r="C49" i="28"/>
  <c r="C47" i="28"/>
  <c r="C45" i="28"/>
  <c r="C44" i="28"/>
  <c r="C42" i="28"/>
  <c r="C41" i="28"/>
  <c r="C40" i="28"/>
  <c r="C39" i="28"/>
  <c r="C37" i="28"/>
  <c r="C36" i="28"/>
  <c r="C35" i="28"/>
  <c r="C34" i="28"/>
  <c r="C33" i="28"/>
  <c r="C31" i="28"/>
  <c r="C30" i="28"/>
  <c r="C29" i="28"/>
  <c r="C28" i="28"/>
  <c r="C27" i="28"/>
  <c r="C26" i="28"/>
  <c r="C25" i="28"/>
  <c r="C24" i="28"/>
  <c r="C23" i="28"/>
  <c r="C22" i="28"/>
  <c r="C21" i="28"/>
  <c r="C20" i="28"/>
  <c r="C19" i="28"/>
  <c r="C18" i="28"/>
  <c r="C17" i="28"/>
  <c r="C16" i="28"/>
  <c r="C15" i="28"/>
  <c r="C14" i="28"/>
  <c r="C13" i="28"/>
  <c r="C12" i="28"/>
  <c r="C11" i="28"/>
  <c r="C10" i="28"/>
  <c r="C9" i="28"/>
  <c r="C8" i="28"/>
  <c r="C7" i="28"/>
  <c r="C6" i="28"/>
  <c r="C5" i="28"/>
  <c r="C32" i="28" s="1"/>
  <c r="C58" i="28" s="1"/>
  <c r="C4" i="28"/>
  <c r="E32" i="26"/>
  <c r="D32" i="26"/>
  <c r="E57" i="27"/>
  <c r="D57" i="27"/>
  <c r="E55" i="27"/>
  <c r="D55" i="27"/>
  <c r="E53" i="27"/>
  <c r="D53" i="27"/>
  <c r="E51" i="27"/>
  <c r="D51" i="27"/>
  <c r="E48" i="27"/>
  <c r="D48" i="27"/>
  <c r="E46" i="27"/>
  <c r="D46" i="27"/>
  <c r="E43" i="27"/>
  <c r="D43" i="27"/>
  <c r="E38" i="27"/>
  <c r="D38" i="27"/>
  <c r="E32" i="27"/>
  <c r="D32" i="27"/>
  <c r="C32" i="27"/>
  <c r="C58" i="27" s="1"/>
  <c r="C56" i="27"/>
  <c r="C54" i="27"/>
  <c r="C52" i="27"/>
  <c r="C50" i="27"/>
  <c r="C49" i="27"/>
  <c r="C47" i="27"/>
  <c r="C45" i="27"/>
  <c r="C44" i="27"/>
  <c r="C42" i="27"/>
  <c r="C41" i="27"/>
  <c r="C40" i="27"/>
  <c r="C39" i="27"/>
  <c r="C37" i="27"/>
  <c r="C36" i="27"/>
  <c r="C35" i="27"/>
  <c r="C34" i="27"/>
  <c r="C33" i="27"/>
  <c r="C31" i="27"/>
  <c r="C30" i="27"/>
  <c r="C29" i="27"/>
  <c r="C28" i="27"/>
  <c r="C27" i="27"/>
  <c r="C26" i="27"/>
  <c r="C25" i="27"/>
  <c r="C24" i="27"/>
  <c r="C23" i="27"/>
  <c r="C22" i="27"/>
  <c r="C21" i="27"/>
  <c r="C20" i="27"/>
  <c r="C19" i="27"/>
  <c r="C18" i="27"/>
  <c r="C17" i="27"/>
  <c r="C16" i="27"/>
  <c r="C15" i="27"/>
  <c r="C14" i="27"/>
  <c r="C13" i="27"/>
  <c r="C12" i="27"/>
  <c r="C11" i="27"/>
  <c r="C10" i="27"/>
  <c r="C9" i="27"/>
  <c r="C8" i="27"/>
  <c r="C7" i="27"/>
  <c r="C6" i="27"/>
  <c r="C5" i="27"/>
  <c r="C4" i="27"/>
  <c r="E43" i="26"/>
  <c r="D43" i="26"/>
  <c r="E58" i="28" l="1"/>
  <c r="C4" i="26"/>
  <c r="C5" i="26"/>
  <c r="C6" i="26"/>
  <c r="C7" i="26"/>
  <c r="C8" i="26"/>
  <c r="C9" i="26"/>
  <c r="C10" i="26"/>
  <c r="C11" i="26"/>
  <c r="C12" i="26"/>
  <c r="C13" i="26"/>
  <c r="C14" i="26"/>
  <c r="C15" i="26"/>
  <c r="C16" i="26"/>
  <c r="C17" i="26"/>
  <c r="C18" i="26"/>
  <c r="C19" i="26"/>
  <c r="C20" i="26"/>
  <c r="C21" i="26"/>
  <c r="C22" i="26"/>
  <c r="C23" i="26"/>
  <c r="C24" i="26"/>
  <c r="C25" i="26"/>
  <c r="C26" i="26"/>
  <c r="C27" i="26"/>
  <c r="C28" i="26"/>
  <c r="C29" i="26"/>
  <c r="C30" i="26"/>
  <c r="C31" i="26"/>
  <c r="D20" i="25" l="1"/>
  <c r="D6" i="24"/>
  <c r="D20" i="23"/>
  <c r="E38" i="10" l="1"/>
  <c r="D38" i="10"/>
  <c r="C38" i="10"/>
  <c r="E34" i="10"/>
  <c r="D34" i="10"/>
  <c r="C34" i="10"/>
  <c r="C28" i="10"/>
  <c r="C18" i="10" s="1"/>
  <c r="D27" i="10"/>
  <c r="D18" i="10" s="1"/>
  <c r="E20" i="10"/>
  <c r="E18" i="10" s="1"/>
  <c r="E11" i="10"/>
  <c r="D11" i="10"/>
  <c r="C11" i="10"/>
  <c r="E9" i="10"/>
  <c r="D9" i="10"/>
  <c r="D29" i="10" s="1"/>
  <c r="D39" i="10" s="1"/>
  <c r="C9" i="10"/>
  <c r="C29" i="10" s="1"/>
  <c r="C39" i="10" s="1"/>
  <c r="E8" i="10"/>
  <c r="E7" i="10"/>
  <c r="E6" i="10"/>
  <c r="D6" i="10"/>
  <c r="C6" i="10"/>
  <c r="D4" i="10"/>
  <c r="E4" i="10" s="1"/>
  <c r="E3" i="10" s="1"/>
  <c r="E29" i="10" s="1"/>
  <c r="E39" i="10" s="1"/>
  <c r="D3" i="10"/>
  <c r="C3" i="10"/>
  <c r="D10" i="25" l="1"/>
  <c r="H10" i="25" s="1"/>
  <c r="D20" i="24"/>
  <c r="D10" i="24"/>
  <c r="D21" i="22"/>
  <c r="C21" i="22"/>
  <c r="E57" i="28"/>
  <c r="D57" i="28"/>
  <c r="C57" i="28"/>
  <c r="E55" i="28"/>
  <c r="D55" i="28"/>
  <c r="C55" i="28"/>
  <c r="E53" i="28"/>
  <c r="D53" i="28"/>
  <c r="C53" i="28"/>
  <c r="E51" i="28"/>
  <c r="D51" i="28"/>
  <c r="C51" i="28"/>
  <c r="E48" i="28"/>
  <c r="D48" i="28"/>
  <c r="C48" i="28"/>
  <c r="E46" i="28"/>
  <c r="D46" i="28"/>
  <c r="C46" i="28"/>
  <c r="E38" i="28"/>
  <c r="D36" i="28"/>
  <c r="D38" i="28" s="1"/>
  <c r="D16" i="28"/>
  <c r="D15" i="28"/>
  <c r="C3" i="28"/>
  <c r="C57" i="27"/>
  <c r="C55" i="27"/>
  <c r="C53" i="27"/>
  <c r="C51" i="27"/>
  <c r="C48" i="27"/>
  <c r="C46" i="27"/>
  <c r="D34" i="27"/>
  <c r="C3" i="27"/>
  <c r="E57" i="26"/>
  <c r="D57" i="26"/>
  <c r="C56" i="26"/>
  <c r="C57" i="26" s="1"/>
  <c r="E55" i="26"/>
  <c r="D55" i="26"/>
  <c r="C54" i="26"/>
  <c r="C55" i="26" s="1"/>
  <c r="E53" i="26"/>
  <c r="D53" i="26"/>
  <c r="C52" i="26"/>
  <c r="C53" i="26" s="1"/>
  <c r="E51" i="26"/>
  <c r="E58" i="26" s="1"/>
  <c r="D51" i="26"/>
  <c r="D58" i="26" s="1"/>
  <c r="C49" i="26"/>
  <c r="C51" i="26" s="1"/>
  <c r="C58" i="26" s="1"/>
  <c r="E48" i="26"/>
  <c r="D48" i="26"/>
  <c r="C47" i="26"/>
  <c r="C48" i="26" s="1"/>
  <c r="E46" i="26"/>
  <c r="D46" i="26"/>
  <c r="C45" i="26"/>
  <c r="C44" i="26"/>
  <c r="C42" i="26"/>
  <c r="C41" i="26"/>
  <c r="C40" i="26"/>
  <c r="C39" i="26"/>
  <c r="E38" i="26"/>
  <c r="D38" i="26"/>
  <c r="C37" i="26"/>
  <c r="C36" i="26"/>
  <c r="C35" i="26"/>
  <c r="C34" i="26"/>
  <c r="C33" i="26"/>
  <c r="C3" i="26"/>
  <c r="C32" i="26" s="1"/>
  <c r="F4" i="25"/>
  <c r="E9" i="25"/>
  <c r="E9" i="24"/>
  <c r="H9" i="24" s="1"/>
  <c r="E20" i="24"/>
  <c r="D18" i="25"/>
  <c r="C20" i="25"/>
  <c r="H20" i="25" s="1"/>
  <c r="C16" i="25"/>
  <c r="C19" i="25"/>
  <c r="H19" i="25" s="1"/>
  <c r="C18" i="25"/>
  <c r="H18" i="25" s="1"/>
  <c r="C17" i="25"/>
  <c r="C15" i="25"/>
  <c r="C14" i="25"/>
  <c r="H14" i="25" s="1"/>
  <c r="C13" i="25"/>
  <c r="C12" i="25"/>
  <c r="C11" i="25"/>
  <c r="C10" i="25"/>
  <c r="C9" i="25"/>
  <c r="H9" i="25" s="1"/>
  <c r="C8" i="25"/>
  <c r="H8" i="25" s="1"/>
  <c r="C7" i="25"/>
  <c r="C6" i="25"/>
  <c r="H6" i="25" s="1"/>
  <c r="C5" i="25"/>
  <c r="C4" i="25"/>
  <c r="G21" i="25"/>
  <c r="F21" i="25"/>
  <c r="E21" i="25"/>
  <c r="B21" i="25"/>
  <c r="H17" i="25"/>
  <c r="D15" i="25"/>
  <c r="H13" i="25"/>
  <c r="H12" i="25"/>
  <c r="H11" i="25"/>
  <c r="H7" i="25"/>
  <c r="H5" i="25"/>
  <c r="H4" i="25"/>
  <c r="C16" i="24"/>
  <c r="C18" i="24"/>
  <c r="H18" i="24" s="1"/>
  <c r="F20" i="24"/>
  <c r="F4" i="24"/>
  <c r="D21" i="24"/>
  <c r="C20" i="24"/>
  <c r="G21" i="24"/>
  <c r="B21" i="24"/>
  <c r="H19" i="24"/>
  <c r="H17" i="24"/>
  <c r="D15" i="24"/>
  <c r="H15" i="24" s="1"/>
  <c r="H14" i="24"/>
  <c r="H13" i="24"/>
  <c r="H12" i="24"/>
  <c r="H11" i="24"/>
  <c r="H10" i="24"/>
  <c r="H8" i="24"/>
  <c r="H7" i="24"/>
  <c r="H6" i="24"/>
  <c r="H5" i="24"/>
  <c r="H4" i="24"/>
  <c r="D10" i="23"/>
  <c r="C43" i="28" l="1"/>
  <c r="C38" i="28"/>
  <c r="C43" i="27"/>
  <c r="E58" i="27"/>
  <c r="D58" i="27"/>
  <c r="C38" i="27"/>
  <c r="C46" i="26"/>
  <c r="C43" i="26"/>
  <c r="C38" i="26"/>
  <c r="E21" i="24"/>
  <c r="H16" i="25"/>
  <c r="H15" i="25"/>
  <c r="C21" i="25"/>
  <c r="H21" i="25"/>
  <c r="D21" i="25"/>
  <c r="C21" i="24"/>
  <c r="C22" i="24" s="1"/>
  <c r="F21" i="24"/>
  <c r="H16" i="24"/>
  <c r="H20" i="24"/>
  <c r="H16" i="23"/>
  <c r="D15" i="23"/>
  <c r="D21" i="23" s="1"/>
  <c r="H10" i="23"/>
  <c r="B21" i="23"/>
  <c r="G21" i="23"/>
  <c r="F21" i="23"/>
  <c r="E21" i="23"/>
  <c r="C21" i="23"/>
  <c r="H20" i="23"/>
  <c r="H19" i="23"/>
  <c r="H18" i="23"/>
  <c r="H17" i="23"/>
  <c r="H15" i="23"/>
  <c r="H14" i="23"/>
  <c r="H13" i="23"/>
  <c r="H12" i="23"/>
  <c r="H11" i="23"/>
  <c r="H9" i="23"/>
  <c r="H8" i="23"/>
  <c r="H7" i="23"/>
  <c r="H6" i="23"/>
  <c r="H5" i="23"/>
  <c r="H4" i="23"/>
  <c r="H21" i="24" l="1"/>
  <c r="H21" i="23"/>
  <c r="F20" i="22" l="1"/>
  <c r="G16" i="22"/>
  <c r="F19" i="22"/>
  <c r="F18" i="22"/>
  <c r="F17" i="22"/>
  <c r="F16" i="22"/>
  <c r="F15" i="22"/>
  <c r="F14" i="22"/>
  <c r="F13" i="22"/>
  <c r="F12" i="22"/>
  <c r="F11" i="22"/>
  <c r="F10" i="22"/>
  <c r="F9" i="22"/>
  <c r="F8" i="22"/>
  <c r="G7" i="22"/>
  <c r="F6" i="22"/>
  <c r="F5" i="22"/>
  <c r="F4" i="22"/>
  <c r="G20" i="22"/>
  <c r="G19" i="22"/>
  <c r="G15" i="22"/>
  <c r="G17" i="22"/>
  <c r="G6" i="22"/>
  <c r="G4" i="22"/>
  <c r="E20" i="22"/>
  <c r="G18" i="22" l="1"/>
  <c r="G9" i="22"/>
  <c r="E13" i="22"/>
  <c r="B20" i="22" l="1"/>
  <c r="B19" i="22"/>
  <c r="B18" i="22"/>
  <c r="B17" i="22"/>
  <c r="B16" i="22"/>
  <c r="B15" i="22"/>
  <c r="B14" i="22"/>
  <c r="B13" i="22"/>
  <c r="B12" i="22"/>
  <c r="B11" i="22"/>
  <c r="B10" i="22"/>
  <c r="B9" i="22"/>
  <c r="B8" i="22"/>
  <c r="B7" i="22"/>
  <c r="B6" i="22"/>
  <c r="B5" i="22"/>
  <c r="B4" i="22"/>
  <c r="E19" i="22"/>
  <c r="E18" i="22"/>
  <c r="E17" i="22"/>
  <c r="E15" i="22"/>
  <c r="E14" i="22"/>
  <c r="E12" i="22"/>
  <c r="E11" i="22"/>
  <c r="E10" i="22"/>
  <c r="E9" i="22"/>
  <c r="E8" i="22"/>
  <c r="E7" i="22"/>
  <c r="E6" i="22"/>
  <c r="E5" i="22"/>
  <c r="F21" i="22"/>
  <c r="E25" i="22" s="1"/>
  <c r="E4" i="22"/>
  <c r="B21" i="22" l="1"/>
  <c r="E16" i="22"/>
  <c r="G21" i="22"/>
  <c r="E26" i="22" s="1"/>
  <c r="E21" i="22" l="1"/>
  <c r="G8" i="2" l="1"/>
  <c r="F8" i="2"/>
  <c r="E8" i="2"/>
  <c r="D8" i="2"/>
  <c r="G7" i="2"/>
  <c r="F7" i="2"/>
  <c r="E7" i="2"/>
  <c r="D7" i="2"/>
  <c r="G4" i="2"/>
  <c r="F4" i="2"/>
  <c r="E4" i="2"/>
  <c r="D4" i="2"/>
  <c r="C5" i="17" l="1"/>
  <c r="C4" i="17"/>
  <c r="C3" i="17"/>
  <c r="B5" i="17"/>
  <c r="E8" i="1" l="1"/>
  <c r="D8" i="1"/>
  <c r="C8" i="1"/>
  <c r="B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15" authorId="0" shapeId="0" xr:uid="{C58C406C-8995-4557-83E3-006514234337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Ka qene Asfaltim I rrugeve
</t>
        </r>
      </text>
    </comment>
    <comment ref="B30" authorId="0" shapeId="0" xr:uid="{D7B831E3-2F32-4E63-975F-44867B5DB758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te riemrohet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30" authorId="0" shapeId="0" xr:uid="{D4D50613-784F-4537-AD1B-8EFA87E979E9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te riemrohet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30" authorId="0" shapeId="0" xr:uid="{E5E7C495-2D1F-42F4-A1F4-95433FA1D5CE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te riemrohet</t>
        </r>
      </text>
    </comment>
  </commentList>
</comments>
</file>

<file path=xl/sharedStrings.xml><?xml version="1.0" encoding="utf-8"?>
<sst xmlns="http://schemas.openxmlformats.org/spreadsheetml/2006/main" count="369" uniqueCount="183">
  <si>
    <t>Vlerësimi 2026</t>
  </si>
  <si>
    <t>Granti i përgjithshëm</t>
  </si>
  <si>
    <t>Granti specifik i arsimit</t>
  </si>
  <si>
    <t>Granti i shëndetësisë</t>
  </si>
  <si>
    <t>Të  hyrat vetanake</t>
  </si>
  <si>
    <t>Financimi për shërbimet rezidenciale</t>
  </si>
  <si>
    <t xml:space="preserve"> Totali :</t>
  </si>
  <si>
    <t>Përshkrimi</t>
  </si>
  <si>
    <t xml:space="preserve">TË HYRAT TOTALE KOMUNALE  </t>
  </si>
  <si>
    <t xml:space="preserve"> Të hyrat vetanake </t>
  </si>
  <si>
    <t xml:space="preserve">SHPENZIMET TOTALE KOMUNALE </t>
  </si>
  <si>
    <r>
      <t xml:space="preserve"> </t>
    </r>
    <r>
      <rPr>
        <b/>
        <sz val="11"/>
        <color theme="1"/>
        <rFont val="Times New Roman"/>
        <family val="1"/>
      </rPr>
      <t xml:space="preserve">Shpenzimet rrjedhëse </t>
    </r>
  </si>
  <si>
    <t>Pagat dhe meditjet</t>
  </si>
  <si>
    <t xml:space="preserve"> Mallrat dhe  shërbim</t>
  </si>
  <si>
    <t>Shërbime komunale</t>
  </si>
  <si>
    <t>Subvencionet</t>
  </si>
  <si>
    <r>
      <t xml:space="preserve"> </t>
    </r>
    <r>
      <rPr>
        <b/>
        <sz val="11"/>
        <color theme="1"/>
        <rFont val="Times New Roman"/>
        <family val="1"/>
      </rPr>
      <t xml:space="preserve">Shpenzimet Kapitale </t>
    </r>
  </si>
  <si>
    <t>Grantet dhe transferet  qeveritare</t>
  </si>
  <si>
    <t xml:space="preserve">Programet </t>
  </si>
  <si>
    <t>Zyra e Kryetarit</t>
  </si>
  <si>
    <t>Zyra e Kuvendit Komunal</t>
  </si>
  <si>
    <t>Administrata dhe Personeli</t>
  </si>
  <si>
    <t>Inspektimet</t>
  </si>
  <si>
    <t>Buxheti dhe financat</t>
  </si>
  <si>
    <t>Infrastruktura Publike</t>
  </si>
  <si>
    <t>Zjarrfikësit dhe Inspektimet</t>
  </si>
  <si>
    <t>Zyra Komunale për Komunitete</t>
  </si>
  <si>
    <t>Bujqësi, Pylltari dhe Zhvillim Rural</t>
  </si>
  <si>
    <t xml:space="preserve">Kadastra dhe Gjeodezia </t>
  </si>
  <si>
    <t>Planifikimi urban dhe mjedisi</t>
  </si>
  <si>
    <t>Shëndetësia</t>
  </si>
  <si>
    <t>Shërbimet sociale</t>
  </si>
  <si>
    <t>Kultura, rinia dhe sporti</t>
  </si>
  <si>
    <t>Arsimi dhe shkenca</t>
  </si>
  <si>
    <t>Çështjet gjinore</t>
  </si>
  <si>
    <t>Tabela 6. Korniza Buxhetore Komunale, në euro</t>
  </si>
  <si>
    <t>Totali</t>
  </si>
  <si>
    <t xml:space="preserve">Bashkëfinancim me donatorë </t>
  </si>
  <si>
    <t>Ndertimi i rrugëve dhe infrastruktures nentokesore ne Poterqe-Dugajeve-Drenovce</t>
  </si>
  <si>
    <t>Urbanizmi</t>
  </si>
  <si>
    <t>Bujqesia</t>
  </si>
  <si>
    <t>Shendetësia</t>
  </si>
  <si>
    <t>Administrata</t>
  </si>
  <si>
    <t>Kultura</t>
  </si>
  <si>
    <t>Arsimi</t>
  </si>
  <si>
    <t>Totali :</t>
  </si>
  <si>
    <t>Projektet me prioritet për vitin  2025</t>
  </si>
  <si>
    <t>Ndërtimi i kanalit kullues të ujit nga Gryka e Jarinës - Dersnik -Arbëri</t>
  </si>
  <si>
    <t>Infrastruktura rrugore</t>
  </si>
  <si>
    <t>Projektet me prioritet për vitin  2026</t>
  </si>
  <si>
    <t>Kodet</t>
  </si>
  <si>
    <t>BURIMET E  TË  HYRAVE</t>
  </si>
  <si>
    <t xml:space="preserve"> Planifikimi - për vitin 2025</t>
  </si>
  <si>
    <t>1)</t>
  </si>
  <si>
    <t>Drejtoria e Urbanizmit</t>
  </si>
  <si>
    <t>Lejet për ndërtim</t>
  </si>
  <si>
    <t>3)</t>
  </si>
  <si>
    <t>Drejtoria e Inspekcionit</t>
  </si>
  <si>
    <t>Denimet mandatore</t>
  </si>
  <si>
    <t>Komisioni inspektues</t>
  </si>
  <si>
    <t>5)</t>
  </si>
  <si>
    <t>Kadastra</t>
  </si>
  <si>
    <t>Të hyrat nga shërbimet kadastrale</t>
  </si>
  <si>
    <t>6)</t>
  </si>
  <si>
    <t>Administrata e përgjithshme</t>
  </si>
  <si>
    <t>Çertifikatat e lindjës</t>
  </si>
  <si>
    <t>Çertifikatat e kunorzimit</t>
  </si>
  <si>
    <t>Çertifikatat e vdekjës</t>
  </si>
  <si>
    <t>Çertifikatat tjera</t>
  </si>
  <si>
    <t>Të hyrat tjera</t>
  </si>
  <si>
    <t>Taksat administrative</t>
  </si>
  <si>
    <t>7)</t>
  </si>
  <si>
    <t>Drejtoria për Buxhet e Financa</t>
  </si>
  <si>
    <t>Taksa për rexhistrimin e automjeteve</t>
  </si>
  <si>
    <t xml:space="preserve">Qiraja për lokalet afariste </t>
  </si>
  <si>
    <t>Qiraja për banesa</t>
  </si>
  <si>
    <t>Shitja e pasurisë</t>
  </si>
  <si>
    <t>Shfrytëzimi i pronës publike</t>
  </si>
  <si>
    <t xml:space="preserve">Tatimi mbi pronë </t>
  </si>
  <si>
    <t>Tatimi në tokë</t>
  </si>
  <si>
    <t>I</t>
  </si>
  <si>
    <t xml:space="preserve"> Totali i administratës komunale</t>
  </si>
  <si>
    <t>Të ardhurat nga arsimi</t>
  </si>
  <si>
    <t>Qerdhet</t>
  </si>
  <si>
    <t>Arsimi fillor</t>
  </si>
  <si>
    <t>Arsimi i mesëm</t>
  </si>
  <si>
    <t>II</t>
  </si>
  <si>
    <t xml:space="preserve">  Totali - arsimi</t>
  </si>
  <si>
    <t>Të ardhurat nga shendetësia</t>
  </si>
  <si>
    <t xml:space="preserve">Shendetësia primare </t>
  </si>
  <si>
    <t>III</t>
  </si>
  <si>
    <t xml:space="preserve"> Totali - shendetësia</t>
  </si>
  <si>
    <t>TOTALI I TË ARDHURAVE VETANAKE TË KOMUNËS ( I + II + III )</t>
  </si>
  <si>
    <t>Ndërtimi i rrugëve e infrastruktures nëntokësore Videje-Polce-Paskalicë-Jagodë-Krushevë e Madhe</t>
  </si>
  <si>
    <t>Projektet me prioritet për vitin  2027</t>
  </si>
  <si>
    <t>Ndërtimi i rrugëve dhe infrastruktures nëntokësore Videje-Polce-Paskalicë-Jagodë-Krushevë e Madhe</t>
  </si>
  <si>
    <t>Ndërtimi i shtigjeve te ecjes dhe infrastrukture rrugore në Gryken e Jarines-Pogragje</t>
  </si>
  <si>
    <t>Gjeodezia</t>
  </si>
  <si>
    <t>Rindërtimi i infrastrukturës mbitokësore me asfalt në Jashanicë, Shtupel, Zllakuqan, Klinë-Videjë etj</t>
  </si>
  <si>
    <t>Tabela 1: Financimi komunal për vitet 2025-2027 sipas burimit</t>
  </si>
  <si>
    <t>Buxheti aktual 2024</t>
  </si>
  <si>
    <t>Planifikimi 2025</t>
  </si>
  <si>
    <t>Vlerësimi 2027</t>
  </si>
  <si>
    <t>Tabela 3. Planifikimi i të hyrave vetanake të komunës sipas burimeve për periudhën  2025-2027 në euro</t>
  </si>
  <si>
    <t xml:space="preserve"> Planifikimi - për vitin 2026</t>
  </si>
  <si>
    <t xml:space="preserve"> Planifikimi - për vitin 2027</t>
  </si>
  <si>
    <t>Taksa për ushtrim të veprimtarisë</t>
  </si>
  <si>
    <t>2025    (planifikim)</t>
  </si>
  <si>
    <t>2026    (vlerësimet)</t>
  </si>
  <si>
    <t xml:space="preserve">      2027 (vlerësimet)</t>
  </si>
  <si>
    <t>Shërbimet rrezidenciale</t>
  </si>
  <si>
    <t>Emri i projektit</t>
  </si>
  <si>
    <t>Korniza afatmesme buxhetore 2025-2027</t>
  </si>
  <si>
    <t>Tabela 11: Përqindja sipas gjinisë</t>
  </si>
  <si>
    <t>Kategoria</t>
  </si>
  <si>
    <t>Shifrat sipas Regjistrimit të Popullsisë 2011</t>
  </si>
  <si>
    <t>%</t>
  </si>
  <si>
    <t>Meshkuj</t>
  </si>
  <si>
    <t>Femra</t>
  </si>
  <si>
    <t>Popullata e përgjithshme</t>
  </si>
  <si>
    <t xml:space="preserve">Total Paga/Mëditje </t>
  </si>
  <si>
    <t>Pagat meshkuj</t>
  </si>
  <si>
    <t>Pagat femrat</t>
  </si>
  <si>
    <t>Tabela 13.Paga dhe meditje sipas bazës gjinore</t>
  </si>
  <si>
    <t>TOTALI</t>
  </si>
  <si>
    <t xml:space="preserve">Rindërtimi i rrugëve te Qytetit te Klines me segmente te tyre: S.Rexhepi, M.Daka, M.Haxhaj, L.Palucaj, H.Prishtina, I.Qemajli, F.Bojaj, B.Mustafa, Sh.Sadiku, H.Krasniqi, Vëllezërit Gërvalla etj </t>
  </si>
  <si>
    <t>Ndërtimi i infrastrukturës mbitokësore (Trotuare) dhe infrastruktures nëntokësore në Zajmë-Deiq</t>
  </si>
  <si>
    <t>Ndërtimi i infrastrukturës mbitokësore dhe infrastruktures nëntokësore Zllakuqan-Pataqan-Berkove, Krushevë e Vogël (trotuari Klinë-Zllakuqan)</t>
  </si>
  <si>
    <t>Ndertimi  i infrastrukturës mbitokësore dhe rindërtimi i rrugës Klinë-Shtupel-Kërnicë</t>
  </si>
  <si>
    <t>Ndërtimi  i infrastrukturës mbitokësore dhe infrastruktures nëntokësore Volljakë-Sferke-Qupevë-Dush</t>
  </si>
  <si>
    <t>Ndertimi i infrastrukturës mbitokësore dhe urës në Budisalcë-Rudice</t>
  </si>
  <si>
    <t>Ndërtimi  i infrastrukturës mbitokësore dhe infrastruktures nëntokësore Gjurgjevik i Madhë - Dush</t>
  </si>
  <si>
    <t>Zgjerimi i sipërfaqeve të gjelbruara (Parqeve) në Këpuz, Shtupel, Zllakuqan, Gremnik, Volljak etj</t>
  </si>
  <si>
    <t>Zgjerimi i rrjetit të ndriçimit publik në Dollc-Dresnik, Jashanicë, Drenovc, Shtupel, Klinë, Leskoc, Gremnik, Qupevë e Ulët, Siqevë, Resnik, Gj.Madh, Dush etj</t>
  </si>
  <si>
    <t>Ndërtimi i impianteve për trajtimin e ujrave të zeza në Ranoc, Radulloc, Shtupel, Shtaricë etj</t>
  </si>
  <si>
    <t>Ndërtimi i rrethojave të vorrezave në Gj.Madh, Volljak, Sferkë, Jashanicë, Siqevë, Gremnik, Zajm, K.e Vogël, Shtupel etj</t>
  </si>
  <si>
    <t>Ndërtimi i infrastruktures nëntokësore dhe mbitokësore në Klinë, rrugën Martirët e Pastaselit, Martirët e Kralanit etj</t>
  </si>
  <si>
    <t>Ndërtimi i infrastrukturës mbitokësore dhe infrastruktures nëntokësore Poterq- Dugajevë-Drenovc</t>
  </si>
  <si>
    <t>Ndërtimi i kanalizimit në Shtupel-Kërrnicë-Binxhe-Grapc</t>
  </si>
  <si>
    <t>Ndërtimi i infrastruktures mbitokësore dhe nëntokësore në Gremnik-Qupevë e Ulët</t>
  </si>
  <si>
    <t>Ndertimi i  infrastruktures nentokesore dhe mbitokësore ne Ranoc-Leskoc</t>
  </si>
  <si>
    <t>Ndertimi i  infrastruktures nentokesore dhe mbitokësore Siqeve-Ujmire-Shtarice</t>
  </si>
  <si>
    <t>Ndertimi i  infrastruktures nentokesore dhe mbitokësore Gllareve-Rixheve-Stapanice-Zabergje</t>
  </si>
  <si>
    <t>Ndertimi i  infrastruktures nentokesore dhe mbitokësore Gjurgjevik i Vogel-Klinavc</t>
  </si>
  <si>
    <t>Ndertimi i  infrastruktures nentokesore dhe mbitokësore ne Grabanice-Bokshiq-Dollove</t>
  </si>
  <si>
    <t>Ndërtimi i infrastrukturës mbitokësore dhe nëntokësore në Jashanicë-Jelloc-Resnik</t>
  </si>
  <si>
    <t>Ndertimi i infrastruktures nentokesore dhe mbitokësore ne Qeskove-Kepuz-Rastoke</t>
  </si>
  <si>
    <t>Furnizim me inventar, tabela te menqura ne shkolle në Çabiq, Ujmirë, Ismet Rraci, Motrat Qiriazi, Fehmi Agani, Luigj Gurakuqi etj</t>
  </si>
  <si>
    <t>Ndërtimi i segmenteve të rrugës Malë Bashota, Dositej Obradoviq, Bekim Fehmiu, Shaban Sadiku, Heronjtë e Kombit dhe infrastruktures nëntokësore në Klinë-Dersnik-Dollc</t>
  </si>
  <si>
    <t>Ndriqimi I hapësirave të jashtme në shkollën Ismet Rraci, Motrat Qiriazi, Gjimnazin Luigj Gurakuqi, Zllakuqan, Çerdhja e fëmijëve etj</t>
  </si>
  <si>
    <t>Ndërtimi I fushave sportive dhe parkingjeve në shkolla në Grabanicë, Siqevë, Zllakuqan, Leskoc, Sferkë etj</t>
  </si>
  <si>
    <t>Ndertimi dhe rindertimi i Objektit Komunal ne Kline</t>
  </si>
  <si>
    <t>Ndertimi dhe Rindertimi i Objekteve Sportive te Kultures ne Kline</t>
  </si>
  <si>
    <t>Blerja e veturave zyrtare per nevoja te Administrates Komunale</t>
  </si>
  <si>
    <t>Furnizim me pajisje- aparat për matje gjeodezike</t>
  </si>
  <si>
    <t>Sherbimet Rezidenciale</t>
  </si>
  <si>
    <t xml:space="preserve">Ndertimi i shtepise se pleqeve ne Kline </t>
  </si>
  <si>
    <t>Ndertimi i liqenit akumulues per furnizim me uje te pijes ne Kline</t>
  </si>
  <si>
    <t>Ndertimi i rrjetit te ujesjellesit ne LAgjen Arberia,Tigvesh,te Sheshi Nena Tereze, Dollc-Dresnik,Grabanice,Gremnik, Drenoc</t>
  </si>
  <si>
    <t>Ndërtimi  i infrastrukturës mbitokësore dhe nëntokësore Cerovik-Qabiq-Dobërdol</t>
  </si>
  <si>
    <t>Ndertimi i nxemjeve qendrore me pompa termike dhe nxemje me kaldaja me pelet ne shkolla në Gjimnazin Luigj Gurakuqi, Gremnik, Këpuz, Zllakuqan, Gjurgjevik I Madh, Budisalc, Ujmirë, Drenoc, Volljak, Grabanicë, Jagodë etj</t>
  </si>
  <si>
    <t>Ndertimi i shtratit të lumit Klina, (Klinë-Burimi i Jarinës - Pogragjë-Ujmirë), Rregullimi i shtratit të lumit Lumëbardhi i Pejës dhe lumit Drini I Bradhë</t>
  </si>
  <si>
    <t>Ndërtimi i kanaleve te ujitjes në Rudicë-Stupë-Videjë- Zajm,Potërq-Dollovë, Volljakë-Këpuz etj</t>
  </si>
  <si>
    <t>Ndertimi i infrastruktures nentokesore dhe mbitoksore ne Perqev edhe rrugën "Shpella Azem Bejta"-Përqevë</t>
  </si>
  <si>
    <t xml:space="preserve">Nr. I punëtorëve </t>
  </si>
  <si>
    <t>M</t>
  </si>
  <si>
    <t>F</t>
  </si>
  <si>
    <t xml:space="preserve">Paga/Mëditje </t>
  </si>
  <si>
    <t>Mallra/Shërbime</t>
  </si>
  <si>
    <t>Komunali</t>
  </si>
  <si>
    <t>Subvencione</t>
  </si>
  <si>
    <t>Investime Kapitale</t>
  </si>
  <si>
    <t>Gjithsej</t>
  </si>
  <si>
    <t xml:space="preserve">   Gjithsej</t>
  </si>
  <si>
    <t>Nr.i punëtorëve</t>
  </si>
  <si>
    <t>Tabela 7. Shpenzimet komunale sipas kategorive ekonomike dhe programeve - Viti aktual 2025</t>
  </si>
  <si>
    <t>Tabela 8. Shpenzimet komunale sipas kategorive ekonomike dhe programeve - Viti aktual 2026</t>
  </si>
  <si>
    <t>Tabela 9. Shpenzimet komunale sipas kategorive ekonomike dhe programeve - Viti aktual 2027</t>
  </si>
  <si>
    <t>Taksë për legalizim</t>
  </si>
  <si>
    <t>Largimi dhe deponimi I automjeteve</t>
  </si>
  <si>
    <t>Furnizim me paisje mejksore per diagnostike</t>
  </si>
  <si>
    <t>Ndertimi dhe rindertimi I objekteve shendetesore: QKMF, AMF Drenoc, Ujmire, Zllakuqan dhe Gllareve etj</t>
  </si>
  <si>
    <t>Ndertimi i parkut industrial per Kline, zona kadastrale në Klinavc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</si>
</sst>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\ [$€-1];[Red]\-#,##0.00\ [$€-1]"/>
    <numFmt numFmtId="165" formatCode="#,##0.00\ [$€-1]_);[Red]\(#,##0.00\ [$€-1]\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FFFF"/>
      <name val="Times New Roman"/>
      <family val="1"/>
    </font>
    <font>
      <b/>
      <sz val="11"/>
      <color rgb="FFFFFFFF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0"/>
      <name val="Times New Roman"/>
      <family val="1"/>
    </font>
    <font>
      <b/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0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FFFF"/>
      <name val="Times New Roman"/>
      <family val="1"/>
    </font>
    <font>
      <sz val="10"/>
      <color rgb="FFFFFFFF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943634"/>
        <bgColor indexed="64"/>
      </patternFill>
    </fill>
    <fill>
      <patternFill patternType="solid">
        <fgColor rgb="FFC4BC96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494529"/>
        <bgColor indexed="64"/>
      </patternFill>
    </fill>
    <fill>
      <patternFill patternType="solid">
        <fgColor rgb="FF000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7BA0CD"/>
      </left>
      <right/>
      <top style="medium">
        <color rgb="FF7BA0CD"/>
      </top>
      <bottom style="medium">
        <color rgb="FF7BA0CD"/>
      </bottom>
      <diagonal/>
    </border>
    <border>
      <left style="medium">
        <color rgb="FF7BA0CD"/>
      </left>
      <right/>
      <top style="medium">
        <color rgb="FF7BA0CD"/>
      </top>
      <bottom/>
      <diagonal/>
    </border>
    <border>
      <left style="medium">
        <color rgb="FF7BA0CD"/>
      </left>
      <right/>
      <top/>
      <bottom style="medium">
        <color rgb="FF7BA0CD"/>
      </bottom>
      <diagonal/>
    </border>
    <border>
      <left/>
      <right/>
      <top style="medium">
        <color rgb="FF7BA0CD"/>
      </top>
      <bottom style="medium">
        <color rgb="FF7BA0CD"/>
      </bottom>
      <diagonal/>
    </border>
    <border>
      <left/>
      <right/>
      <top style="medium">
        <color rgb="FF7BA0CD"/>
      </top>
      <bottom/>
      <diagonal/>
    </border>
    <border>
      <left/>
      <right/>
      <top/>
      <bottom style="medium">
        <color rgb="FF7BA0CD"/>
      </bottom>
      <diagonal/>
    </border>
    <border>
      <left/>
      <right style="medium">
        <color rgb="FF7BA0CD"/>
      </right>
      <top style="medium">
        <color rgb="FF7BA0CD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3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43" fontId="3" fillId="0" borderId="3" xfId="1" applyFont="1" applyBorder="1" applyAlignment="1">
      <alignment vertical="top" wrapText="1"/>
    </xf>
    <xf numFmtId="43" fontId="3" fillId="0" borderId="3" xfId="1" applyFont="1" applyBorder="1" applyAlignment="1">
      <alignment horizontal="right" vertical="top" wrapText="1"/>
    </xf>
    <xf numFmtId="43" fontId="2" fillId="0" borderId="3" xfId="1" applyFont="1" applyBorder="1" applyAlignment="1">
      <alignment vertical="top" wrapText="1"/>
    </xf>
    <xf numFmtId="43" fontId="2" fillId="0" borderId="3" xfId="1" applyFont="1" applyBorder="1" applyAlignment="1">
      <alignment horizontal="center" vertical="top" wrapText="1"/>
    </xf>
    <xf numFmtId="43" fontId="0" fillId="0" borderId="0" xfId="0" applyNumberFormat="1"/>
    <xf numFmtId="0" fontId="4" fillId="2" borderId="5" xfId="0" applyFont="1" applyFill="1" applyBorder="1" applyAlignment="1">
      <alignment vertical="top" wrapText="1"/>
    </xf>
    <xf numFmtId="0" fontId="2" fillId="3" borderId="6" xfId="0" applyFont="1" applyFill="1" applyBorder="1" applyAlignment="1">
      <alignment vertical="top" wrapText="1"/>
    </xf>
    <xf numFmtId="0" fontId="3" fillId="3" borderId="9" xfId="0" applyFont="1" applyFill="1" applyBorder="1" applyAlignment="1">
      <alignment vertical="top" wrapText="1"/>
    </xf>
    <xf numFmtId="0" fontId="2" fillId="3" borderId="9" xfId="0" applyFont="1" applyFill="1" applyBorder="1" applyAlignment="1">
      <alignment vertical="top" wrapText="1"/>
    </xf>
    <xf numFmtId="4" fontId="5" fillId="2" borderId="9" xfId="0" applyNumberFormat="1" applyFont="1" applyFill="1" applyBorder="1" applyAlignment="1">
      <alignment horizontal="right" wrapText="1"/>
    </xf>
    <xf numFmtId="0" fontId="6" fillId="3" borderId="9" xfId="0" applyFont="1" applyFill="1" applyBorder="1" applyAlignment="1">
      <alignment vertical="top" wrapText="1"/>
    </xf>
    <xf numFmtId="0" fontId="6" fillId="4" borderId="0" xfId="0" applyFont="1" applyFill="1" applyAlignment="1">
      <alignment vertical="top" wrapText="1"/>
    </xf>
    <xf numFmtId="0" fontId="8" fillId="4" borderId="9" xfId="0" applyFont="1" applyFill="1" applyBorder="1" applyAlignment="1">
      <alignment vertical="top" wrapText="1"/>
    </xf>
    <xf numFmtId="4" fontId="6" fillId="4" borderId="9" xfId="0" applyNumberFormat="1" applyFont="1" applyFill="1" applyBorder="1" applyAlignment="1">
      <alignment horizontal="right" wrapText="1"/>
    </xf>
    <xf numFmtId="0" fontId="8" fillId="5" borderId="9" xfId="0" applyFont="1" applyFill="1" applyBorder="1" applyAlignment="1">
      <alignment horizontal="left" vertical="top" wrapText="1"/>
    </xf>
    <xf numFmtId="0" fontId="8" fillId="5" borderId="9" xfId="0" applyFont="1" applyFill="1" applyBorder="1" applyAlignment="1">
      <alignment vertical="top" wrapText="1"/>
    </xf>
    <xf numFmtId="0" fontId="2" fillId="3" borderId="5" xfId="0" applyFont="1" applyFill="1" applyBorder="1" applyAlignment="1">
      <alignment vertical="top" wrapText="1"/>
    </xf>
    <xf numFmtId="0" fontId="2" fillId="3" borderId="8" xfId="0" applyFont="1" applyFill="1" applyBorder="1" applyAlignment="1">
      <alignment vertical="top" wrapText="1"/>
    </xf>
    <xf numFmtId="4" fontId="7" fillId="3" borderId="8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vertical="top" wrapText="1"/>
    </xf>
    <xf numFmtId="0" fontId="2" fillId="4" borderId="8" xfId="0" applyFont="1" applyFill="1" applyBorder="1" applyAlignment="1">
      <alignment vertical="top" wrapText="1"/>
    </xf>
    <xf numFmtId="4" fontId="7" fillId="4" borderId="8" xfId="0" applyNumberFormat="1" applyFont="1" applyFill="1" applyBorder="1" applyAlignment="1">
      <alignment wrapText="1"/>
    </xf>
    <xf numFmtId="0" fontId="8" fillId="4" borderId="4" xfId="0" applyFont="1" applyFill="1" applyBorder="1" applyAlignment="1">
      <alignment vertical="top" wrapText="1"/>
    </xf>
    <xf numFmtId="0" fontId="8" fillId="4" borderId="7" xfId="0" applyFont="1" applyFill="1" applyBorder="1" applyAlignment="1">
      <alignment vertical="top" wrapText="1"/>
    </xf>
    <xf numFmtId="0" fontId="8" fillId="5" borderId="5" xfId="0" applyFont="1" applyFill="1" applyBorder="1" applyAlignment="1">
      <alignment vertical="top" wrapText="1"/>
    </xf>
    <xf numFmtId="0" fontId="8" fillId="5" borderId="8" xfId="0" applyFont="1" applyFill="1" applyBorder="1" applyAlignment="1">
      <alignment vertical="top" wrapText="1"/>
    </xf>
    <xf numFmtId="4" fontId="7" fillId="5" borderId="8" xfId="0" applyNumberFormat="1" applyFont="1" applyFill="1" applyBorder="1" applyAlignment="1">
      <alignment wrapText="1"/>
    </xf>
    <xf numFmtId="4" fontId="9" fillId="5" borderId="8" xfId="0" applyNumberFormat="1" applyFont="1" applyFill="1" applyBorder="1" applyAlignment="1">
      <alignment wrapText="1"/>
    </xf>
    <xf numFmtId="0" fontId="3" fillId="5" borderId="5" xfId="0" applyFont="1" applyFill="1" applyBorder="1" applyAlignment="1">
      <alignment vertical="top" wrapText="1"/>
    </xf>
    <xf numFmtId="0" fontId="3" fillId="5" borderId="8" xfId="0" applyFont="1" applyFill="1" applyBorder="1" applyAlignment="1">
      <alignment vertical="top" wrapText="1"/>
    </xf>
    <xf numFmtId="0" fontId="2" fillId="5" borderId="8" xfId="0" applyFont="1" applyFill="1" applyBorder="1" applyAlignment="1">
      <alignment vertical="top" wrapText="1"/>
    </xf>
    <xf numFmtId="0" fontId="2" fillId="5" borderId="5" xfId="0" applyFont="1" applyFill="1" applyBorder="1" applyAlignment="1">
      <alignment vertical="top" wrapText="1"/>
    </xf>
    <xf numFmtId="0" fontId="6" fillId="4" borderId="5" xfId="0" applyFont="1" applyFill="1" applyBorder="1" applyAlignment="1">
      <alignment vertical="top" wrapText="1"/>
    </xf>
    <xf numFmtId="0" fontId="6" fillId="4" borderId="8" xfId="0" applyFont="1" applyFill="1" applyBorder="1" applyAlignment="1">
      <alignment vertical="top" wrapText="1"/>
    </xf>
    <xf numFmtId="4" fontId="6" fillId="4" borderId="8" xfId="0" applyNumberFormat="1" applyFont="1" applyFill="1" applyBorder="1" applyAlignment="1">
      <alignment wrapText="1"/>
    </xf>
    <xf numFmtId="4" fontId="10" fillId="4" borderId="8" xfId="0" applyNumberFormat="1" applyFont="1" applyFill="1" applyBorder="1" applyAlignment="1">
      <alignment wrapText="1"/>
    </xf>
    <xf numFmtId="4" fontId="11" fillId="4" borderId="8" xfId="0" applyNumberFormat="1" applyFont="1" applyFill="1" applyBorder="1" applyAlignment="1">
      <alignment wrapText="1"/>
    </xf>
    <xf numFmtId="0" fontId="12" fillId="2" borderId="6" xfId="0" applyFont="1" applyFill="1" applyBorder="1" applyAlignment="1">
      <alignment vertical="top" wrapText="1"/>
    </xf>
    <xf numFmtId="0" fontId="12" fillId="2" borderId="4" xfId="0" applyFont="1" applyFill="1" applyBorder="1" applyAlignment="1">
      <alignment vertical="top" wrapText="1"/>
    </xf>
    <xf numFmtId="0" fontId="12" fillId="2" borderId="9" xfId="0" applyFont="1" applyFill="1" applyBorder="1" applyAlignment="1">
      <alignment vertical="top" wrapText="1"/>
    </xf>
    <xf numFmtId="0" fontId="5" fillId="2" borderId="8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4" fontId="0" fillId="0" borderId="0" xfId="0" applyNumberFormat="1"/>
    <xf numFmtId="0" fontId="13" fillId="0" borderId="3" xfId="0" applyFont="1" applyBorder="1" applyAlignment="1">
      <alignment wrapText="1"/>
    </xf>
    <xf numFmtId="0" fontId="13" fillId="0" borderId="3" xfId="0" applyFont="1" applyBorder="1" applyAlignment="1">
      <alignment vertical="top" wrapText="1"/>
    </xf>
    <xf numFmtId="0" fontId="13" fillId="0" borderId="0" xfId="0" applyFont="1"/>
    <xf numFmtId="43" fontId="7" fillId="0" borderId="0" xfId="1" applyFont="1" applyFill="1"/>
    <xf numFmtId="43" fontId="7" fillId="0" borderId="0" xfId="1" applyFont="1"/>
    <xf numFmtId="4" fontId="9" fillId="0" borderId="3" xfId="0" applyNumberFormat="1" applyFont="1" applyFill="1" applyBorder="1"/>
    <xf numFmtId="43" fontId="7" fillId="0" borderId="12" xfId="1" applyFont="1" applyFill="1" applyBorder="1" applyAlignment="1">
      <alignment horizontal="right"/>
    </xf>
    <xf numFmtId="43" fontId="7" fillId="0" borderId="3" xfId="1" applyFont="1" applyFill="1" applyBorder="1" applyAlignment="1">
      <alignment horizontal="right"/>
    </xf>
    <xf numFmtId="0" fontId="13" fillId="7" borderId="11" xfId="0" applyFont="1" applyFill="1" applyBorder="1" applyAlignment="1">
      <alignment horizontal="right" vertical="center"/>
    </xf>
    <xf numFmtId="0" fontId="13" fillId="7" borderId="3" xfId="0" applyFont="1" applyFill="1" applyBorder="1" applyAlignment="1">
      <alignment vertical="center"/>
    </xf>
    <xf numFmtId="43" fontId="15" fillId="7" borderId="3" xfId="1" applyFont="1" applyFill="1" applyBorder="1"/>
    <xf numFmtId="43" fontId="7" fillId="0" borderId="12" xfId="1" applyFont="1" applyFill="1" applyBorder="1"/>
    <xf numFmtId="43" fontId="7" fillId="0" borderId="3" xfId="1" applyFont="1" applyFill="1" applyBorder="1"/>
    <xf numFmtId="0" fontId="9" fillId="0" borderId="3" xfId="0" applyFont="1" applyBorder="1" applyAlignment="1">
      <alignment wrapText="1"/>
    </xf>
    <xf numFmtId="43" fontId="15" fillId="7" borderId="12" xfId="1" applyFont="1" applyFill="1" applyBorder="1"/>
    <xf numFmtId="43" fontId="15" fillId="7" borderId="11" xfId="1" applyFont="1" applyFill="1" applyBorder="1"/>
    <xf numFmtId="0" fontId="7" fillId="0" borderId="0" xfId="0" applyFont="1" applyFill="1"/>
    <xf numFmtId="0" fontId="15" fillId="0" borderId="3" xfId="0" applyFont="1" applyFill="1" applyBorder="1" applyAlignment="1">
      <alignment horizontal="right"/>
    </xf>
    <xf numFmtId="43" fontId="15" fillId="0" borderId="3" xfId="1" applyFont="1" applyFill="1" applyBorder="1"/>
    <xf numFmtId="43" fontId="0" fillId="0" borderId="3" xfId="1" applyFont="1" applyBorder="1"/>
    <xf numFmtId="0" fontId="13" fillId="0" borderId="13" xfId="0" applyFont="1" applyBorder="1" applyAlignment="1">
      <alignment horizontal="center" wrapText="1"/>
    </xf>
    <xf numFmtId="0" fontId="13" fillId="0" borderId="14" xfId="0" applyFont="1" applyBorder="1" applyAlignment="1">
      <alignment horizontal="center" wrapText="1"/>
    </xf>
    <xf numFmtId="0" fontId="13" fillId="7" borderId="15" xfId="0" applyFont="1" applyFill="1" applyBorder="1" applyAlignment="1">
      <alignment horizontal="center" wrapText="1"/>
    </xf>
    <xf numFmtId="0" fontId="13" fillId="7" borderId="16" xfId="0" applyFont="1" applyFill="1" applyBorder="1" applyAlignment="1">
      <alignment wrapText="1"/>
    </xf>
    <xf numFmtId="4" fontId="13" fillId="7" borderId="16" xfId="0" applyNumberFormat="1" applyFont="1" applyFill="1" applyBorder="1" applyAlignment="1">
      <alignment horizontal="right" wrapText="1"/>
    </xf>
    <xf numFmtId="0" fontId="13" fillId="0" borderId="15" xfId="0" applyFont="1" applyBorder="1" applyAlignment="1">
      <alignment horizontal="center"/>
    </xf>
    <xf numFmtId="0" fontId="9" fillId="0" borderId="16" xfId="0" applyFont="1" applyBorder="1"/>
    <xf numFmtId="4" fontId="9" fillId="0" borderId="16" xfId="0" applyNumberFormat="1" applyFont="1" applyBorder="1" applyAlignment="1">
      <alignment horizontal="right"/>
    </xf>
    <xf numFmtId="0" fontId="13" fillId="7" borderId="15" xfId="0" applyFont="1" applyFill="1" applyBorder="1" applyAlignment="1">
      <alignment horizontal="center"/>
    </xf>
    <xf numFmtId="0" fontId="13" fillId="7" borderId="16" xfId="0" applyFont="1" applyFill="1" applyBorder="1"/>
    <xf numFmtId="4" fontId="13" fillId="7" borderId="16" xfId="0" applyNumberFormat="1" applyFont="1" applyFill="1" applyBorder="1" applyAlignment="1">
      <alignment horizontal="right"/>
    </xf>
    <xf numFmtId="0" fontId="9" fillId="0" borderId="16" xfId="0" applyFont="1" applyBorder="1" applyAlignment="1">
      <alignment wrapText="1"/>
    </xf>
    <xf numFmtId="0" fontId="13" fillId="8" borderId="15" xfId="0" applyFont="1" applyFill="1" applyBorder="1" applyAlignment="1">
      <alignment horizontal="center" wrapText="1"/>
    </xf>
    <xf numFmtId="0" fontId="13" fillId="8" borderId="16" xfId="0" applyFont="1" applyFill="1" applyBorder="1"/>
    <xf numFmtId="4" fontId="13" fillId="8" borderId="16" xfId="0" applyNumberFormat="1" applyFont="1" applyFill="1" applyBorder="1" applyAlignment="1">
      <alignment horizontal="right"/>
    </xf>
    <xf numFmtId="0" fontId="13" fillId="0" borderId="15" xfId="0" applyFont="1" applyBorder="1" applyAlignment="1">
      <alignment horizontal="center" wrapText="1"/>
    </xf>
    <xf numFmtId="0" fontId="13" fillId="0" borderId="16" xfId="0" applyFont="1" applyBorder="1"/>
    <xf numFmtId="0" fontId="9" fillId="0" borderId="16" xfId="0" applyFont="1" applyBorder="1" applyAlignment="1">
      <alignment horizontal="right"/>
    </xf>
    <xf numFmtId="4" fontId="13" fillId="9" borderId="16" xfId="0" applyNumberFormat="1" applyFont="1" applyFill="1" applyBorder="1" applyAlignment="1">
      <alignment horizontal="right"/>
    </xf>
    <xf numFmtId="0" fontId="9" fillId="0" borderId="3" xfId="0" applyFont="1" applyFill="1" applyBorder="1"/>
    <xf numFmtId="0" fontId="0" fillId="0" borderId="0" xfId="0" applyFill="1"/>
    <xf numFmtId="0" fontId="9" fillId="0" borderId="3" xfId="0" applyFont="1" applyFill="1" applyBorder="1" applyAlignment="1">
      <alignment wrapText="1"/>
    </xf>
    <xf numFmtId="0" fontId="13" fillId="0" borderId="11" xfId="0" applyFont="1" applyFill="1" applyBorder="1" applyAlignment="1">
      <alignment horizontal="right" vertical="center"/>
    </xf>
    <xf numFmtId="43" fontId="15" fillId="0" borderId="12" xfId="1" applyFont="1" applyFill="1" applyBorder="1"/>
    <xf numFmtId="0" fontId="13" fillId="0" borderId="3" xfId="0" applyFont="1" applyBorder="1" applyAlignment="1">
      <alignment horizontal="left" vertical="top"/>
    </xf>
    <xf numFmtId="43" fontId="9" fillId="0" borderId="3" xfId="1" applyFont="1" applyFill="1" applyBorder="1" applyAlignment="1">
      <alignment horizontal="right" wrapText="1"/>
    </xf>
    <xf numFmtId="0" fontId="6" fillId="0" borderId="0" xfId="0" applyFont="1" applyAlignment="1">
      <alignment vertical="center"/>
    </xf>
    <xf numFmtId="0" fontId="3" fillId="0" borderId="15" xfId="0" applyFont="1" applyBorder="1" applyAlignment="1">
      <alignment vertical="center" wrapText="1"/>
    </xf>
    <xf numFmtId="3" fontId="3" fillId="0" borderId="16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vertical="top" wrapText="1"/>
    </xf>
    <xf numFmtId="43" fontId="19" fillId="0" borderId="3" xfId="1" applyFont="1" applyBorder="1"/>
    <xf numFmtId="43" fontId="14" fillId="0" borderId="3" xfId="1" applyFont="1" applyBorder="1"/>
    <xf numFmtId="0" fontId="18" fillId="0" borderId="3" xfId="0" applyFont="1" applyFill="1" applyBorder="1" applyAlignment="1">
      <alignment horizontal="center" vertical="center" wrapText="1"/>
    </xf>
    <xf numFmtId="43" fontId="14" fillId="0" borderId="3" xfId="1" applyFont="1" applyFill="1" applyBorder="1"/>
    <xf numFmtId="3" fontId="0" fillId="0" borderId="0" xfId="0" applyNumberFormat="1"/>
    <xf numFmtId="0" fontId="3" fillId="3" borderId="7" xfId="0" applyFont="1" applyFill="1" applyBorder="1" applyAlignment="1">
      <alignment vertical="top" wrapText="1"/>
    </xf>
    <xf numFmtId="0" fontId="12" fillId="2" borderId="7" xfId="0" applyFont="1" applyFill="1" applyBorder="1" applyAlignment="1">
      <alignment vertical="top" wrapText="1"/>
    </xf>
    <xf numFmtId="0" fontId="9" fillId="0" borderId="11" xfId="0" applyFont="1" applyFill="1" applyBorder="1" applyAlignment="1">
      <alignment horizontal="right" vertical="center" wrapText="1"/>
    </xf>
    <xf numFmtId="0" fontId="13" fillId="7" borderId="11" xfId="0" applyFont="1" applyFill="1" applyBorder="1" applyAlignment="1">
      <alignment horizontal="right" vertical="center" wrapText="1"/>
    </xf>
    <xf numFmtId="0" fontId="13" fillId="7" borderId="3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11" xfId="0" applyFont="1" applyBorder="1" applyAlignment="1">
      <alignment wrapText="1"/>
    </xf>
    <xf numFmtId="0" fontId="7" fillId="0" borderId="11" xfId="0" applyFont="1" applyFill="1" applyBorder="1" applyAlignment="1">
      <alignment wrapText="1"/>
    </xf>
    <xf numFmtId="0" fontId="7" fillId="0" borderId="11" xfId="0" applyFont="1" applyBorder="1" applyAlignment="1">
      <alignment wrapText="1"/>
    </xf>
    <xf numFmtId="0" fontId="9" fillId="0" borderId="11" xfId="0" applyFont="1" applyBorder="1" applyAlignment="1">
      <alignment vertical="center" wrapText="1"/>
    </xf>
    <xf numFmtId="0" fontId="9" fillId="0" borderId="11" xfId="0" applyFont="1" applyBorder="1"/>
    <xf numFmtId="0" fontId="13" fillId="7" borderId="11" xfId="0" applyFont="1" applyFill="1" applyBorder="1" applyAlignment="1">
      <alignment vertical="center"/>
    </xf>
    <xf numFmtId="4" fontId="9" fillId="0" borderId="3" xfId="0" applyNumberFormat="1" applyFont="1" applyBorder="1"/>
    <xf numFmtId="43" fontId="7" fillId="6" borderId="12" xfId="1" applyFont="1" applyFill="1" applyBorder="1"/>
    <xf numFmtId="0" fontId="7" fillId="0" borderId="0" xfId="0" applyFont="1"/>
    <xf numFmtId="0" fontId="9" fillId="0" borderId="11" xfId="0" applyFont="1" applyFill="1" applyBorder="1"/>
    <xf numFmtId="0" fontId="9" fillId="0" borderId="11" xfId="0" applyFont="1" applyFill="1" applyBorder="1" applyAlignment="1">
      <alignment wrapText="1"/>
    </xf>
    <xf numFmtId="0" fontId="2" fillId="0" borderId="0" xfId="0" applyFont="1" applyBorder="1"/>
    <xf numFmtId="0" fontId="2" fillId="0" borderId="0" xfId="0" applyFont="1"/>
    <xf numFmtId="43" fontId="2" fillId="0" borderId="0" xfId="1" applyFont="1" applyFill="1" applyAlignment="1">
      <alignment horizontal="center"/>
    </xf>
    <xf numFmtId="49" fontId="2" fillId="0" borderId="0" xfId="1" applyNumberFormat="1" applyFont="1" applyAlignment="1">
      <alignment horizontal="center"/>
    </xf>
    <xf numFmtId="43" fontId="7" fillId="0" borderId="0" xfId="0" applyNumberFormat="1" applyFont="1"/>
    <xf numFmtId="0" fontId="3" fillId="0" borderId="0" xfId="0" applyFont="1" applyAlignment="1">
      <alignment horizontal="center"/>
    </xf>
    <xf numFmtId="0" fontId="16" fillId="10" borderId="3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vertical="center"/>
    </xf>
    <xf numFmtId="0" fontId="18" fillId="10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right" wrapText="1"/>
    </xf>
    <xf numFmtId="0" fontId="9" fillId="0" borderId="3" xfId="0" applyFont="1" applyBorder="1" applyAlignment="1">
      <alignment horizontal="right" vertical="top" wrapText="1"/>
    </xf>
    <xf numFmtId="0" fontId="9" fillId="0" borderId="3" xfId="0" applyFont="1" applyBorder="1" applyAlignment="1">
      <alignment horizontal="right" vertical="top"/>
    </xf>
    <xf numFmtId="164" fontId="0" fillId="0" borderId="0" xfId="0" applyNumberFormat="1"/>
    <xf numFmtId="165" fontId="0" fillId="0" borderId="0" xfId="0" applyNumberFormat="1"/>
    <xf numFmtId="4" fontId="19" fillId="0" borderId="0" xfId="0" applyNumberFormat="1" applyFont="1"/>
    <xf numFmtId="0" fontId="23" fillId="12" borderId="3" xfId="0" applyFont="1" applyFill="1" applyBorder="1" applyAlignment="1">
      <alignment wrapText="1"/>
    </xf>
    <xf numFmtId="0" fontId="23" fillId="12" borderId="3" xfId="0" applyFont="1" applyFill="1" applyBorder="1" applyAlignment="1">
      <alignment horizontal="center" wrapText="1"/>
    </xf>
    <xf numFmtId="43" fontId="9" fillId="0" borderId="3" xfId="1" applyFont="1" applyBorder="1" applyAlignment="1">
      <alignment horizontal="right" wrapText="1"/>
    </xf>
    <xf numFmtId="43" fontId="9" fillId="0" borderId="3" xfId="1" applyFont="1" applyFill="1" applyBorder="1" applyAlignment="1">
      <alignment wrapText="1"/>
    </xf>
    <xf numFmtId="43" fontId="9" fillId="0" borderId="3" xfId="1" applyFont="1" applyBorder="1" applyAlignment="1">
      <alignment wrapText="1"/>
    </xf>
    <xf numFmtId="0" fontId="22" fillId="12" borderId="20" xfId="0" applyFont="1" applyFill="1" applyBorder="1" applyAlignment="1">
      <alignment wrapText="1"/>
    </xf>
    <xf numFmtId="43" fontId="23" fillId="13" borderId="19" xfId="1" applyFont="1" applyFill="1" applyBorder="1" applyAlignment="1">
      <alignment horizontal="right"/>
    </xf>
    <xf numFmtId="0" fontId="22" fillId="11" borderId="18" xfId="0" applyFont="1" applyFill="1" applyBorder="1" applyAlignment="1">
      <alignment horizontal="center" wrapText="1"/>
    </xf>
    <xf numFmtId="0" fontId="22" fillId="11" borderId="19" xfId="0" applyFont="1" applyFill="1" applyBorder="1" applyAlignment="1">
      <alignment horizontal="center" wrapText="1"/>
    </xf>
    <xf numFmtId="0" fontId="22" fillId="12" borderId="0" xfId="0" applyFont="1" applyFill="1" applyBorder="1" applyAlignment="1">
      <alignment wrapText="1"/>
    </xf>
    <xf numFmtId="0" fontId="13" fillId="0" borderId="3" xfId="0" applyFont="1" applyBorder="1" applyAlignment="1">
      <alignment horizontal="right" vertical="top"/>
    </xf>
    <xf numFmtId="43" fontId="0" fillId="0" borderId="0" xfId="0" applyNumberFormat="1" applyFill="1"/>
    <xf numFmtId="0" fontId="2" fillId="0" borderId="0" xfId="0" applyFont="1" applyAlignment="1"/>
    <xf numFmtId="0" fontId="3" fillId="0" borderId="0" xfId="0" applyFont="1" applyAlignment="1"/>
    <xf numFmtId="0" fontId="2" fillId="0" borderId="3" xfId="0" applyFont="1" applyBorder="1"/>
    <xf numFmtId="43" fontId="2" fillId="0" borderId="3" xfId="1" applyFont="1" applyFill="1" applyBorder="1" applyAlignment="1">
      <alignment horizontal="center"/>
    </xf>
    <xf numFmtId="49" fontId="2" fillId="0" borderId="3" xfId="1" applyNumberFormat="1" applyFont="1" applyBorder="1" applyAlignment="1">
      <alignment horizontal="center"/>
    </xf>
    <xf numFmtId="43" fontId="9" fillId="0" borderId="16" xfId="1" applyFont="1" applyBorder="1" applyAlignment="1">
      <alignment horizontal="right"/>
    </xf>
    <xf numFmtId="0" fontId="19" fillId="0" borderId="0" xfId="0" applyFont="1"/>
    <xf numFmtId="0" fontId="19" fillId="0" borderId="3" xfId="0" applyFont="1" applyBorder="1" applyAlignment="1">
      <alignment wrapText="1"/>
    </xf>
    <xf numFmtId="0" fontId="13" fillId="9" borderId="17" xfId="0" applyFont="1" applyFill="1" applyBorder="1" applyAlignment="1">
      <alignment horizontal="center" wrapText="1"/>
    </xf>
    <xf numFmtId="0" fontId="13" fillId="9" borderId="14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vertical="top" wrapText="1"/>
    </xf>
    <xf numFmtId="0" fontId="12" fillId="2" borderId="7" xfId="0" applyFont="1" applyFill="1" applyBorder="1" applyAlignment="1">
      <alignment vertical="top" wrapText="1"/>
    </xf>
    <xf numFmtId="0" fontId="5" fillId="2" borderId="8" xfId="0" applyFont="1" applyFill="1" applyBorder="1" applyAlignment="1">
      <alignment vertical="top" wrapText="1"/>
    </xf>
    <xf numFmtId="0" fontId="22" fillId="11" borderId="18" xfId="0" applyFont="1" applyFill="1" applyBorder="1" applyAlignment="1">
      <alignment horizontal="center" wrapText="1"/>
    </xf>
    <xf numFmtId="0" fontId="22" fillId="11" borderId="19" xfId="0" applyFont="1" applyFill="1" applyBorder="1" applyAlignment="1">
      <alignment horizontal="center" wrapText="1"/>
    </xf>
    <xf numFmtId="0" fontId="23" fillId="12" borderId="3" xfId="0" applyFont="1" applyFill="1" applyBorder="1" applyAlignment="1">
      <alignment horizont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6" fillId="10" borderId="3" xfId="0" applyFont="1" applyFill="1" applyBorder="1" applyAlignment="1">
      <alignment horizontal="center" vertical="center" wrapText="1"/>
    </xf>
    <xf numFmtId="0" fontId="17" fillId="10" borderId="3" xfId="0" applyFont="1" applyFill="1" applyBorder="1" applyAlignment="1">
      <alignment horizontal="center" vertical="center"/>
    </xf>
    <xf numFmtId="43" fontId="0" fillId="0" borderId="0" xfId="1" applyFont="1" applyFill="1"/>
    <xf numFmtId="4" fontId="13" fillId="0" borderId="3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Paga dhe meditje sipas bazës gjinore</a:t>
            </a:r>
          </a:p>
        </c:rich>
      </c:tx>
      <c:layout>
        <c:manualLayout>
          <c:xMode val="edge"/>
          <c:yMode val="edge"/>
          <c:x val="1.9031387586990534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'Tabela 13. (2)'!$A$25:$A$26</c:f>
              <c:strCache>
                <c:ptCount val="2"/>
                <c:pt idx="0">
                  <c:v>Pagat meshkuj</c:v>
                </c:pt>
                <c:pt idx="1">
                  <c:v>Pagat femrat</c:v>
                </c:pt>
              </c:strCache>
            </c:strRef>
          </c:cat>
          <c:val>
            <c:numRef>
              <c:f>'Tabela 13. (2)'!$E$25:$E$26</c:f>
              <c:numCache>
                <c:formatCode>_(* #,##0.00_);_(* \(#,##0.00\);_(* "-"??_);_(@_)</c:formatCode>
                <c:ptCount val="2"/>
                <c:pt idx="0">
                  <c:v>4758082.7057692306</c:v>
                </c:pt>
                <c:pt idx="1">
                  <c:v>4133949.2908307686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3-4192-B43B-07838CD34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1111689616"/>
        <c:axId val="1111707648"/>
      </c:barChart>
      <c:valAx>
        <c:axId val="1111707648"/>
        <c:scaling>
          <c:orientation val="minMax"/>
        </c:scaling>
        <c:delete val="1"/>
        <c:axPos val="b"/>
        <c:numFmt formatCode="_(* #,##0.00_);_(* \(#,##0.00\);_(* &quot;-&quot;??_);_(@_)" sourceLinked="1"/>
        <c:majorTickMark val="none"/>
        <c:minorTickMark val="none"/>
        <c:tickLblPos val="nextTo"/>
        <c:crossAx val="1111689616"/>
        <c:crosses val="autoZero"/>
        <c:crossBetween val="between"/>
      </c:valAx>
      <c:catAx>
        <c:axId val="1111689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17076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102870</xdr:rowOff>
    </xdr:from>
    <xdr:to>
      <xdr:col>5</xdr:col>
      <xdr:colOff>899160</xdr:colOff>
      <xdr:row>37</xdr:row>
      <xdr:rowOff>102870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A4A491A-7341-4632-AC11-8CDF7AAA78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tabSelected="1" zoomScaleNormal="100" workbookViewId="0">
      <selection activeCell="F26" sqref="F26"/>
    </sheetView>
  </sheetViews>
  <sheetFormatPr defaultRowHeight="14.4" x14ac:dyDescent="0.3"/>
  <cols>
    <col min="1" max="1" width="22.5546875" customWidth="1"/>
    <col min="2" max="2" width="16.5546875" customWidth="1"/>
    <col min="3" max="3" width="16" customWidth="1"/>
    <col min="4" max="4" width="16.5546875" customWidth="1"/>
    <col min="5" max="5" width="16.88671875" customWidth="1"/>
  </cols>
  <sheetData>
    <row r="1" spans="1:5" ht="33" customHeight="1" x14ac:dyDescent="0.3">
      <c r="A1" t="s">
        <v>99</v>
      </c>
    </row>
    <row r="2" spans="1:5" ht="31.2" x14ac:dyDescent="0.3">
      <c r="A2" s="1" t="s">
        <v>112</v>
      </c>
      <c r="B2" s="2" t="s">
        <v>100</v>
      </c>
      <c r="C2" s="2" t="s">
        <v>101</v>
      </c>
      <c r="D2" s="2" t="s">
        <v>0</v>
      </c>
      <c r="E2" s="2" t="s">
        <v>102</v>
      </c>
    </row>
    <row r="3" spans="1:5" ht="15.6" x14ac:dyDescent="0.3">
      <c r="A3" s="3" t="s">
        <v>1</v>
      </c>
      <c r="B3" s="3">
        <v>6086118</v>
      </c>
      <c r="C3" s="3">
        <v>6571819</v>
      </c>
      <c r="D3" s="3">
        <v>6951325</v>
      </c>
      <c r="E3" s="3">
        <v>7337752</v>
      </c>
    </row>
    <row r="4" spans="1:5" ht="31.2" x14ac:dyDescent="0.3">
      <c r="A4" s="3" t="s">
        <v>2</v>
      </c>
      <c r="B4" s="3">
        <v>5453127</v>
      </c>
      <c r="C4" s="3">
        <v>5953349</v>
      </c>
      <c r="D4" s="3">
        <v>6131950</v>
      </c>
      <c r="E4" s="3">
        <v>6315908</v>
      </c>
    </row>
    <row r="5" spans="1:5" ht="15.6" x14ac:dyDescent="0.3">
      <c r="A5" s="3" t="s">
        <v>3</v>
      </c>
      <c r="B5" s="3">
        <v>1673212</v>
      </c>
      <c r="C5" s="3">
        <v>1897981</v>
      </c>
      <c r="D5" s="3">
        <v>1988325</v>
      </c>
      <c r="E5" s="3">
        <v>2082970</v>
      </c>
    </row>
    <row r="6" spans="1:5" ht="15.6" x14ac:dyDescent="0.3">
      <c r="A6" s="3" t="s">
        <v>4</v>
      </c>
      <c r="B6" s="3">
        <v>1436260</v>
      </c>
      <c r="C6" s="3">
        <v>1495504</v>
      </c>
      <c r="D6" s="3">
        <v>1606855</v>
      </c>
      <c r="E6" s="3">
        <v>1720536</v>
      </c>
    </row>
    <row r="7" spans="1:5" ht="31.2" x14ac:dyDescent="0.3">
      <c r="A7" s="3" t="s">
        <v>5</v>
      </c>
      <c r="B7" s="4"/>
      <c r="C7" s="3">
        <v>250000</v>
      </c>
      <c r="D7" s="3">
        <v>200000</v>
      </c>
      <c r="E7" s="3">
        <v>200000</v>
      </c>
    </row>
    <row r="8" spans="1:5" ht="15.6" x14ac:dyDescent="0.3">
      <c r="A8" s="5" t="s">
        <v>6</v>
      </c>
      <c r="B8" s="6">
        <f>SUM(B3:B7)</f>
        <v>14648717</v>
      </c>
      <c r="C8" s="6">
        <f>SUM(C3:C7)</f>
        <v>16168653</v>
      </c>
      <c r="D8" s="6">
        <f>SUM(D3:D7)</f>
        <v>16878455</v>
      </c>
      <c r="E8" s="6">
        <f>SUM(E3:E7)</f>
        <v>17657166</v>
      </c>
    </row>
    <row r="10" spans="1:5" x14ac:dyDescent="0.3">
      <c r="C10" s="7"/>
      <c r="D10" s="7"/>
      <c r="E10" s="7"/>
    </row>
    <row r="16" spans="1:5" x14ac:dyDescent="0.3">
      <c r="C16" s="7"/>
      <c r="D16" s="7"/>
      <c r="E16" s="7"/>
    </row>
  </sheetData>
  <pageMargins left="0.7" right="0.7" top="0.75" bottom="0.75" header="0.3" footer="0.3"/>
  <pageSetup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8207C-AE9F-4F58-98EF-917A63EDA478}">
  <dimension ref="A1:C5"/>
  <sheetViews>
    <sheetView zoomScaleNormal="100" workbookViewId="0"/>
  </sheetViews>
  <sheetFormatPr defaultRowHeight="14.4" x14ac:dyDescent="0.3"/>
  <cols>
    <col min="1" max="1" width="23.33203125" customWidth="1"/>
    <col min="2" max="2" width="25.44140625" customWidth="1"/>
    <col min="3" max="3" width="23.33203125" customWidth="1"/>
  </cols>
  <sheetData>
    <row r="1" spans="1:3" x14ac:dyDescent="0.3">
      <c r="A1" s="92" t="s">
        <v>113</v>
      </c>
    </row>
    <row r="2" spans="1:3" ht="52.2" customHeight="1" x14ac:dyDescent="0.3">
      <c r="A2" s="97" t="s">
        <v>114</v>
      </c>
      <c r="B2" s="98" t="s">
        <v>115</v>
      </c>
      <c r="C2" s="98" t="s">
        <v>116</v>
      </c>
    </row>
    <row r="3" spans="1:3" ht="16.2" thickBot="1" x14ac:dyDescent="0.35">
      <c r="A3" s="93" t="s">
        <v>117</v>
      </c>
      <c r="B3" s="94">
        <v>19193</v>
      </c>
      <c r="C3" s="96">
        <f>B3*100/B5</f>
        <v>49.857128013300084</v>
      </c>
    </row>
    <row r="4" spans="1:3" ht="18" customHeight="1" thickBot="1" x14ac:dyDescent="0.35">
      <c r="A4" s="93" t="s">
        <v>118</v>
      </c>
      <c r="B4" s="94">
        <v>19303</v>
      </c>
      <c r="C4" s="96">
        <f>B4*100/B5</f>
        <v>50.142871986699916</v>
      </c>
    </row>
    <row r="5" spans="1:3" ht="36" customHeight="1" thickBot="1" x14ac:dyDescent="0.35">
      <c r="A5" s="93" t="s">
        <v>119</v>
      </c>
      <c r="B5" s="94">
        <f>SUM(B3:B4)</f>
        <v>38496</v>
      </c>
      <c r="C5" s="95">
        <f>SUM(C3:C4)</f>
        <v>100</v>
      </c>
    </row>
  </sheetData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5C13F-1B4A-48BC-BCB2-851E74E63A24}">
  <dimension ref="A1:K26"/>
  <sheetViews>
    <sheetView zoomScaleNormal="100" workbookViewId="0">
      <selection sqref="A1:G1"/>
    </sheetView>
  </sheetViews>
  <sheetFormatPr defaultRowHeight="14.4" x14ac:dyDescent="0.3"/>
  <cols>
    <col min="1" max="1" width="28.6640625" customWidth="1"/>
    <col min="2" max="2" width="7" customWidth="1"/>
    <col min="3" max="3" width="5.88671875" customWidth="1"/>
    <col min="4" max="4" width="4.5546875" customWidth="1"/>
    <col min="5" max="5" width="14.44140625" customWidth="1"/>
    <col min="6" max="6" width="14.6640625" customWidth="1"/>
    <col min="7" max="7" width="13.109375" customWidth="1"/>
    <col min="8" max="9" width="13.33203125" bestFit="1" customWidth="1"/>
    <col min="10" max="10" width="11.33203125" bestFit="1" customWidth="1"/>
    <col min="11" max="11" width="11.5546875" bestFit="1" customWidth="1"/>
  </cols>
  <sheetData>
    <row r="1" spans="1:10" ht="15.6" x14ac:dyDescent="0.3">
      <c r="A1" s="168" t="s">
        <v>123</v>
      </c>
      <c r="B1" s="168"/>
      <c r="C1" s="168"/>
      <c r="D1" s="168"/>
      <c r="E1" s="168"/>
      <c r="F1" s="168"/>
      <c r="G1" s="168"/>
    </row>
    <row r="2" spans="1:10" ht="15.6" x14ac:dyDescent="0.3">
      <c r="A2" s="169" t="s">
        <v>18</v>
      </c>
      <c r="B2" s="129"/>
      <c r="C2" s="129"/>
      <c r="D2" s="129"/>
      <c r="E2" s="170">
        <v>2025</v>
      </c>
      <c r="F2" s="170"/>
      <c r="G2" s="170"/>
    </row>
    <row r="3" spans="1:10" ht="41.25" customHeight="1" x14ac:dyDescent="0.3">
      <c r="A3" s="169"/>
      <c r="B3" s="129" t="s">
        <v>164</v>
      </c>
      <c r="C3" s="129" t="s">
        <v>165</v>
      </c>
      <c r="D3" s="129" t="s">
        <v>166</v>
      </c>
      <c r="E3" s="130" t="s">
        <v>120</v>
      </c>
      <c r="F3" s="131" t="s">
        <v>121</v>
      </c>
      <c r="G3" s="131" t="s">
        <v>122</v>
      </c>
    </row>
    <row r="4" spans="1:10" x14ac:dyDescent="0.3">
      <c r="A4" s="46" t="s">
        <v>19</v>
      </c>
      <c r="B4" s="46">
        <f>C4+D4</f>
        <v>21</v>
      </c>
      <c r="C4" s="132">
        <v>15</v>
      </c>
      <c r="D4" s="132">
        <v>6</v>
      </c>
      <c r="E4" s="91">
        <f>F4+G4</f>
        <v>237140.9222</v>
      </c>
      <c r="F4" s="65">
        <f>159925.4118+10000+2000</f>
        <v>171925.4118</v>
      </c>
      <c r="G4" s="65">
        <f>63215.5104+2000</f>
        <v>65215.510399999999</v>
      </c>
    </row>
    <row r="5" spans="1:10" x14ac:dyDescent="0.3">
      <c r="A5" s="46" t="s">
        <v>20</v>
      </c>
      <c r="B5" s="46">
        <f t="shared" ref="B5:B20" si="0">C5+D5</f>
        <v>27</v>
      </c>
      <c r="C5" s="132">
        <v>14</v>
      </c>
      <c r="D5" s="132">
        <v>13</v>
      </c>
      <c r="E5" s="91">
        <f t="shared" ref="E5:E19" si="1">F5+G5</f>
        <v>261547.48300000001</v>
      </c>
      <c r="F5" s="65">
        <f>151072.131+1000</f>
        <v>152072.13099999999</v>
      </c>
      <c r="G5" s="65">
        <v>109475.35200000001</v>
      </c>
      <c r="H5" s="45"/>
    </row>
    <row r="6" spans="1:10" x14ac:dyDescent="0.3">
      <c r="A6" s="46" t="s">
        <v>21</v>
      </c>
      <c r="B6" s="46">
        <f t="shared" si="0"/>
        <v>38</v>
      </c>
      <c r="C6" s="132">
        <v>26</v>
      </c>
      <c r="D6" s="132">
        <v>12</v>
      </c>
      <c r="E6" s="91">
        <f t="shared" si="1"/>
        <v>264636.6249</v>
      </c>
      <c r="F6" s="65">
        <f>177830.163+2000</f>
        <v>179830.163</v>
      </c>
      <c r="G6" s="65">
        <f>83806.4619+1000</f>
        <v>84806.461899999995</v>
      </c>
    </row>
    <row r="7" spans="1:10" x14ac:dyDescent="0.3">
      <c r="A7" s="46" t="s">
        <v>34</v>
      </c>
      <c r="B7" s="46">
        <f t="shared" si="0"/>
        <v>1</v>
      </c>
      <c r="C7" s="132">
        <v>0</v>
      </c>
      <c r="D7" s="132">
        <v>1</v>
      </c>
      <c r="E7" s="91">
        <f t="shared" si="1"/>
        <v>9392.9922999999999</v>
      </c>
      <c r="F7" s="65">
        <v>0</v>
      </c>
      <c r="G7" s="100">
        <f>8392.9923+1000</f>
        <v>9392.9922999999999</v>
      </c>
    </row>
    <row r="8" spans="1:10" x14ac:dyDescent="0.3">
      <c r="A8" s="46" t="s">
        <v>22</v>
      </c>
      <c r="B8" s="46">
        <f t="shared" si="0"/>
        <v>8</v>
      </c>
      <c r="C8" s="132">
        <v>8</v>
      </c>
      <c r="D8" s="132">
        <v>0</v>
      </c>
      <c r="E8" s="91">
        <f t="shared" si="1"/>
        <v>75811.740999999995</v>
      </c>
      <c r="F8" s="65">
        <f>71511.741+4300</f>
        <v>75811.740999999995</v>
      </c>
      <c r="G8" s="65">
        <v>0</v>
      </c>
    </row>
    <row r="9" spans="1:10" x14ac:dyDescent="0.3">
      <c r="A9" s="46" t="s">
        <v>23</v>
      </c>
      <c r="B9" s="46">
        <f t="shared" si="0"/>
        <v>21</v>
      </c>
      <c r="C9" s="132">
        <v>9</v>
      </c>
      <c r="D9" s="132">
        <v>12</v>
      </c>
      <c r="E9" s="91">
        <f t="shared" si="1"/>
        <v>174628.40140000009</v>
      </c>
      <c r="F9" s="65">
        <f>76554.0216000001+4000</f>
        <v>80554.021600000095</v>
      </c>
      <c r="G9" s="65">
        <f>92574.3798+1500</f>
        <v>94074.379799999995</v>
      </c>
    </row>
    <row r="10" spans="1:10" x14ac:dyDescent="0.3">
      <c r="A10" s="46" t="s">
        <v>24</v>
      </c>
      <c r="B10" s="46">
        <f t="shared" si="0"/>
        <v>1</v>
      </c>
      <c r="C10" s="132">
        <v>1</v>
      </c>
      <c r="D10" s="132">
        <v>0</v>
      </c>
      <c r="E10" s="91">
        <f t="shared" si="1"/>
        <v>13309.76</v>
      </c>
      <c r="F10" s="65">
        <f>11309.76+2000</f>
        <v>13309.76</v>
      </c>
      <c r="G10" s="65">
        <v>0</v>
      </c>
    </row>
    <row r="11" spans="1:10" x14ac:dyDescent="0.3">
      <c r="A11" s="46" t="s">
        <v>25</v>
      </c>
      <c r="B11" s="46">
        <f t="shared" si="0"/>
        <v>17</v>
      </c>
      <c r="C11" s="132">
        <v>17</v>
      </c>
      <c r="D11" s="132">
        <v>0</v>
      </c>
      <c r="E11" s="91">
        <f t="shared" si="1"/>
        <v>172228.353</v>
      </c>
      <c r="F11" s="65">
        <f>148228.353+20000+4000</f>
        <v>172228.353</v>
      </c>
      <c r="G11" s="65">
        <v>0</v>
      </c>
      <c r="H11" s="45"/>
      <c r="I11" s="7"/>
    </row>
    <row r="12" spans="1:10" x14ac:dyDescent="0.3">
      <c r="A12" s="46" t="s">
        <v>26</v>
      </c>
      <c r="B12" s="46">
        <f t="shared" si="0"/>
        <v>4</v>
      </c>
      <c r="C12" s="132">
        <v>3</v>
      </c>
      <c r="D12" s="132">
        <v>1</v>
      </c>
      <c r="E12" s="91">
        <f t="shared" si="1"/>
        <v>34185.615899999997</v>
      </c>
      <c r="F12" s="65">
        <f>21853.125+1500</f>
        <v>23353.125</v>
      </c>
      <c r="G12" s="65">
        <v>10832.490899999999</v>
      </c>
      <c r="H12" s="135"/>
      <c r="I12" s="136"/>
    </row>
    <row r="13" spans="1:10" ht="27" x14ac:dyDescent="0.3">
      <c r="A13" s="46" t="s">
        <v>27</v>
      </c>
      <c r="B13" s="46">
        <f t="shared" si="0"/>
        <v>5</v>
      </c>
      <c r="C13" s="132">
        <v>5</v>
      </c>
      <c r="D13" s="132"/>
      <c r="E13" s="91">
        <f t="shared" si="1"/>
        <v>48362.455999999998</v>
      </c>
      <c r="F13" s="65">
        <f>46362.456+2000</f>
        <v>48362.455999999998</v>
      </c>
      <c r="G13" s="65">
        <v>0</v>
      </c>
      <c r="H13" s="45"/>
    </row>
    <row r="14" spans="1:10" x14ac:dyDescent="0.3">
      <c r="A14" s="46" t="s">
        <v>28</v>
      </c>
      <c r="B14" s="46">
        <f t="shared" si="0"/>
        <v>9</v>
      </c>
      <c r="C14" s="132">
        <v>6</v>
      </c>
      <c r="D14" s="132">
        <v>3</v>
      </c>
      <c r="E14" s="91">
        <f t="shared" si="1"/>
        <v>71730.411699999997</v>
      </c>
      <c r="F14" s="65">
        <f>44977.4262+4000</f>
        <v>48977.426200000002</v>
      </c>
      <c r="G14" s="65">
        <v>22752.985499999999</v>
      </c>
      <c r="H14" s="45"/>
    </row>
    <row r="15" spans="1:10" x14ac:dyDescent="0.3">
      <c r="A15" s="47" t="s">
        <v>29</v>
      </c>
      <c r="B15" s="46">
        <f t="shared" si="0"/>
        <v>6</v>
      </c>
      <c r="C15" s="133">
        <v>4</v>
      </c>
      <c r="D15" s="133">
        <v>2</v>
      </c>
      <c r="E15" s="91">
        <f t="shared" si="1"/>
        <v>60112.5749</v>
      </c>
      <c r="F15" s="65">
        <f>39712.9824+1000</f>
        <v>40712.982400000001</v>
      </c>
      <c r="G15" s="65">
        <f>16899.5925+2500</f>
        <v>19399.592499999999</v>
      </c>
      <c r="H15" s="45"/>
    </row>
    <row r="16" spans="1:10" x14ac:dyDescent="0.3">
      <c r="A16" s="47" t="s">
        <v>30</v>
      </c>
      <c r="B16" s="46">
        <f t="shared" si="0"/>
        <v>143</v>
      </c>
      <c r="C16" s="133">
        <v>56</v>
      </c>
      <c r="D16" s="133">
        <v>87</v>
      </c>
      <c r="E16" s="91">
        <f t="shared" si="1"/>
        <v>1430970</v>
      </c>
      <c r="F16" s="65">
        <f>43434.92*12+50000+2324.12+4000</f>
        <v>577543.16</v>
      </c>
      <c r="G16" s="65">
        <f>62785.57*12+100000</f>
        <v>853426.84</v>
      </c>
      <c r="H16" s="45"/>
      <c r="I16" s="104"/>
      <c r="J16" s="7"/>
    </row>
    <row r="17" spans="1:11" x14ac:dyDescent="0.3">
      <c r="A17" s="47" t="s">
        <v>31</v>
      </c>
      <c r="B17" s="46">
        <f t="shared" si="0"/>
        <v>11</v>
      </c>
      <c r="C17" s="133">
        <v>8</v>
      </c>
      <c r="D17" s="133">
        <v>3</v>
      </c>
      <c r="E17" s="91">
        <f t="shared" si="1"/>
        <v>90103.508399999992</v>
      </c>
      <c r="F17" s="65">
        <f>60317.2584+3000</f>
        <v>63317.258399999999</v>
      </c>
      <c r="G17" s="65">
        <f>21863.52+3422.73+1500</f>
        <v>26786.25</v>
      </c>
      <c r="H17" s="45"/>
      <c r="I17" s="7"/>
    </row>
    <row r="18" spans="1:11" x14ac:dyDescent="0.3">
      <c r="A18" s="90" t="s">
        <v>110</v>
      </c>
      <c r="B18" s="46">
        <f t="shared" si="0"/>
        <v>13</v>
      </c>
      <c r="C18" s="134">
        <v>8</v>
      </c>
      <c r="D18" s="134">
        <v>5</v>
      </c>
      <c r="E18" s="91">
        <f t="shared" si="1"/>
        <v>71000</v>
      </c>
      <c r="F18" s="65">
        <f>30769.2307692308+16000</f>
        <v>46769.230769230795</v>
      </c>
      <c r="G18" s="65">
        <f>19230.7692307692+5000</f>
        <v>24230.769230769201</v>
      </c>
    </row>
    <row r="19" spans="1:11" x14ac:dyDescent="0.3">
      <c r="A19" s="47" t="s">
        <v>32</v>
      </c>
      <c r="B19" s="46">
        <f t="shared" si="0"/>
        <v>13</v>
      </c>
      <c r="C19" s="133">
        <v>8</v>
      </c>
      <c r="D19" s="133">
        <v>5</v>
      </c>
      <c r="E19" s="91">
        <f t="shared" si="1"/>
        <v>101651.9519</v>
      </c>
      <c r="F19" s="65">
        <f>62258.5656+1770</f>
        <v>64028.565600000002</v>
      </c>
      <c r="G19" s="65">
        <f>37123.3863+500</f>
        <v>37623.386299999998</v>
      </c>
      <c r="H19" s="45"/>
    </row>
    <row r="20" spans="1:11" x14ac:dyDescent="0.3">
      <c r="A20" s="47" t="s">
        <v>33</v>
      </c>
      <c r="B20" s="46">
        <f t="shared" si="0"/>
        <v>647</v>
      </c>
      <c r="C20" s="133">
        <v>349</v>
      </c>
      <c r="D20" s="133">
        <v>298</v>
      </c>
      <c r="E20" s="91">
        <f>F20+G20</f>
        <v>5775219.1999999993</v>
      </c>
      <c r="F20" s="65">
        <f>2769005.76+180000+16236.96+15744.2+7500+10800</f>
        <v>2999286.92</v>
      </c>
      <c r="G20" s="65">
        <f>2655932.28+120000</f>
        <v>2775932.28</v>
      </c>
      <c r="H20" s="137"/>
      <c r="I20" s="7"/>
      <c r="J20" s="7"/>
      <c r="K20" s="7"/>
    </row>
    <row r="21" spans="1:11" x14ac:dyDescent="0.3">
      <c r="A21" s="99" t="s">
        <v>124</v>
      </c>
      <c r="B21" s="46">
        <f>SUM(B4:B20)</f>
        <v>985</v>
      </c>
      <c r="C21" s="46">
        <f t="shared" ref="C21:D21" si="2">SUM(C4:C20)</f>
        <v>537</v>
      </c>
      <c r="D21" s="46">
        <f t="shared" si="2"/>
        <v>448</v>
      </c>
      <c r="E21" s="101">
        <f>SUM(E4:E20)</f>
        <v>8892031.9966000002</v>
      </c>
      <c r="F21" s="101">
        <f t="shared" ref="F21:G21" si="3">SUM(F4:F20)</f>
        <v>4758082.7057692306</v>
      </c>
      <c r="G21" s="101">
        <f t="shared" si="3"/>
        <v>4133949.2908307686</v>
      </c>
      <c r="H21" s="7"/>
      <c r="I21" s="7"/>
    </row>
    <row r="22" spans="1:11" x14ac:dyDescent="0.3">
      <c r="I22" s="7"/>
    </row>
    <row r="25" spans="1:11" x14ac:dyDescent="0.3">
      <c r="A25" s="102" t="s">
        <v>121</v>
      </c>
      <c r="B25" s="102"/>
      <c r="C25" s="102"/>
      <c r="D25" s="102"/>
      <c r="E25" s="103">
        <f>F21</f>
        <v>4758082.7057692306</v>
      </c>
    </row>
    <row r="26" spans="1:11" x14ac:dyDescent="0.3">
      <c r="A26" s="102" t="s">
        <v>122</v>
      </c>
      <c r="B26" s="102"/>
      <c r="C26" s="102"/>
      <c r="D26" s="102"/>
      <c r="E26" s="103">
        <f>G21</f>
        <v>4133949.2908307686</v>
      </c>
    </row>
  </sheetData>
  <mergeCells count="3">
    <mergeCell ref="A1:G1"/>
    <mergeCell ref="A2:A3"/>
    <mergeCell ref="E2:G2"/>
  </mergeCells>
  <pageMargins left="0.7" right="0.7" top="0.75" bottom="0.75" header="0.3" footer="0.3"/>
  <pageSetup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9"/>
  <sheetViews>
    <sheetView zoomScaleNormal="100" workbookViewId="0">
      <selection activeCell="A2" sqref="A2"/>
    </sheetView>
  </sheetViews>
  <sheetFormatPr defaultRowHeight="14.4" x14ac:dyDescent="0.3"/>
  <cols>
    <col min="1" max="1" width="10.33203125" customWidth="1"/>
    <col min="2" max="2" width="30.109375" customWidth="1"/>
    <col min="3" max="4" width="15.33203125" customWidth="1"/>
    <col min="5" max="5" width="15.88671875" customWidth="1"/>
  </cols>
  <sheetData>
    <row r="1" spans="1:5" ht="15" thickBot="1" x14ac:dyDescent="0.35">
      <c r="A1" s="48" t="s">
        <v>103</v>
      </c>
    </row>
    <row r="2" spans="1:5" ht="27.6" thickBot="1" x14ac:dyDescent="0.35">
      <c r="A2" s="66" t="s">
        <v>50</v>
      </c>
      <c r="B2" s="67" t="s">
        <v>51</v>
      </c>
      <c r="C2" s="67" t="s">
        <v>52</v>
      </c>
      <c r="D2" s="67" t="s">
        <v>104</v>
      </c>
      <c r="E2" s="67" t="s">
        <v>105</v>
      </c>
    </row>
    <row r="3" spans="1:5" ht="13.5" customHeight="1" thickBot="1" x14ac:dyDescent="0.35">
      <c r="A3" s="68" t="s">
        <v>53</v>
      </c>
      <c r="B3" s="69" t="s">
        <v>54</v>
      </c>
      <c r="C3" s="70">
        <f>C4+C5</f>
        <v>255000</v>
      </c>
      <c r="D3" s="70">
        <f>D4+D5</f>
        <v>281000</v>
      </c>
      <c r="E3" s="70">
        <f>E4+E5</f>
        <v>302000</v>
      </c>
    </row>
    <row r="4" spans="1:5" ht="15" thickBot="1" x14ac:dyDescent="0.35">
      <c r="A4" s="71">
        <v>50009</v>
      </c>
      <c r="B4" s="72" t="s">
        <v>55</v>
      </c>
      <c r="C4" s="73">
        <v>230000</v>
      </c>
      <c r="D4" s="73">
        <f>250000+5000</f>
        <v>255000</v>
      </c>
      <c r="E4" s="73">
        <f>D4+10000+10000</f>
        <v>275000</v>
      </c>
    </row>
    <row r="5" spans="1:5" ht="15" thickBot="1" x14ac:dyDescent="0.35">
      <c r="A5" s="71">
        <v>50026</v>
      </c>
      <c r="B5" s="72" t="s">
        <v>178</v>
      </c>
      <c r="C5" s="73">
        <v>25000</v>
      </c>
      <c r="D5" s="73">
        <v>26000</v>
      </c>
      <c r="E5" s="73">
        <v>27000</v>
      </c>
    </row>
    <row r="6" spans="1:5" ht="15" thickBot="1" x14ac:dyDescent="0.35">
      <c r="A6" s="74" t="s">
        <v>56</v>
      </c>
      <c r="B6" s="75" t="s">
        <v>57</v>
      </c>
      <c r="C6" s="76">
        <f>C7+C8</f>
        <v>17000</v>
      </c>
      <c r="D6" s="76">
        <f t="shared" ref="D6:E6" si="0">D7+D8</f>
        <v>20000</v>
      </c>
      <c r="E6" s="76">
        <f t="shared" si="0"/>
        <v>30000</v>
      </c>
    </row>
    <row r="7" spans="1:5" ht="15" thickBot="1" x14ac:dyDescent="0.35">
      <c r="A7" s="71">
        <v>50104</v>
      </c>
      <c r="B7" s="72" t="s">
        <v>58</v>
      </c>
      <c r="C7" s="73">
        <v>8000</v>
      </c>
      <c r="D7" s="73">
        <v>10000</v>
      </c>
      <c r="E7" s="73">
        <f>12000+3000</f>
        <v>15000</v>
      </c>
    </row>
    <row r="8" spans="1:5" ht="15" thickBot="1" x14ac:dyDescent="0.35">
      <c r="A8" s="71">
        <v>50205</v>
      </c>
      <c r="B8" s="72" t="s">
        <v>59</v>
      </c>
      <c r="C8" s="73">
        <v>9000</v>
      </c>
      <c r="D8" s="73">
        <v>10000</v>
      </c>
      <c r="E8" s="73">
        <f>12000+3000</f>
        <v>15000</v>
      </c>
    </row>
    <row r="9" spans="1:5" ht="15" thickBot="1" x14ac:dyDescent="0.35">
      <c r="A9" s="74" t="s">
        <v>60</v>
      </c>
      <c r="B9" s="75" t="s">
        <v>61</v>
      </c>
      <c r="C9" s="76">
        <f>C10</f>
        <v>86000</v>
      </c>
      <c r="D9" s="76">
        <f t="shared" ref="D9:E9" si="1">D10</f>
        <v>87000</v>
      </c>
      <c r="E9" s="76">
        <f t="shared" si="1"/>
        <v>90000</v>
      </c>
    </row>
    <row r="10" spans="1:5" ht="15" thickBot="1" x14ac:dyDescent="0.35">
      <c r="A10" s="71">
        <v>50504</v>
      </c>
      <c r="B10" s="72" t="s">
        <v>62</v>
      </c>
      <c r="C10" s="73">
        <v>86000</v>
      </c>
      <c r="D10" s="73">
        <v>87000</v>
      </c>
      <c r="E10" s="73">
        <v>90000</v>
      </c>
    </row>
    <row r="11" spans="1:5" ht="15" thickBot="1" x14ac:dyDescent="0.35">
      <c r="A11" s="74" t="s">
        <v>63</v>
      </c>
      <c r="B11" s="75" t="s">
        <v>64</v>
      </c>
      <c r="C11" s="76">
        <f>C12+C13+C14+C15+C16+C17</f>
        <v>77000</v>
      </c>
      <c r="D11" s="76">
        <f t="shared" ref="D11:E11" si="2">D12+D13+D14+D15+D16+D17</f>
        <v>83900</v>
      </c>
      <c r="E11" s="76">
        <f t="shared" si="2"/>
        <v>87400</v>
      </c>
    </row>
    <row r="12" spans="1:5" ht="15" thickBot="1" x14ac:dyDescent="0.35">
      <c r="A12" s="71">
        <v>50013</v>
      </c>
      <c r="B12" s="72" t="s">
        <v>65</v>
      </c>
      <c r="C12" s="73">
        <v>2000</v>
      </c>
      <c r="D12" s="73">
        <v>2200</v>
      </c>
      <c r="E12" s="73">
        <v>2400</v>
      </c>
    </row>
    <row r="13" spans="1:5" ht="15" thickBot="1" x14ac:dyDescent="0.35">
      <c r="A13" s="71">
        <v>50014</v>
      </c>
      <c r="B13" s="72" t="s">
        <v>66</v>
      </c>
      <c r="C13" s="73">
        <v>500</v>
      </c>
      <c r="D13" s="73">
        <v>600</v>
      </c>
      <c r="E13" s="73">
        <v>700</v>
      </c>
    </row>
    <row r="14" spans="1:5" ht="15" thickBot="1" x14ac:dyDescent="0.35">
      <c r="A14" s="71">
        <v>50015</v>
      </c>
      <c r="B14" s="72" t="s">
        <v>67</v>
      </c>
      <c r="C14" s="73">
        <v>1500</v>
      </c>
      <c r="D14" s="73">
        <v>2000</v>
      </c>
      <c r="E14" s="73">
        <v>2100</v>
      </c>
    </row>
    <row r="15" spans="1:5" ht="15" thickBot="1" x14ac:dyDescent="0.35">
      <c r="A15" s="71">
        <v>50016</v>
      </c>
      <c r="B15" s="72" t="s">
        <v>68</v>
      </c>
      <c r="C15" s="73">
        <v>60000</v>
      </c>
      <c r="D15" s="73">
        <v>65000</v>
      </c>
      <c r="E15" s="73">
        <v>67000</v>
      </c>
    </row>
    <row r="16" spans="1:5" ht="15" thickBot="1" x14ac:dyDescent="0.35">
      <c r="A16" s="71">
        <v>50017</v>
      </c>
      <c r="B16" s="72" t="s">
        <v>69</v>
      </c>
      <c r="C16" s="73">
        <v>10000</v>
      </c>
      <c r="D16" s="73">
        <v>11000</v>
      </c>
      <c r="E16" s="73">
        <v>12000</v>
      </c>
    </row>
    <row r="17" spans="1:5" ht="15" thickBot="1" x14ac:dyDescent="0.35">
      <c r="A17" s="71">
        <v>50019</v>
      </c>
      <c r="B17" s="77" t="s">
        <v>70</v>
      </c>
      <c r="C17" s="73">
        <v>3000</v>
      </c>
      <c r="D17" s="73">
        <v>3100</v>
      </c>
      <c r="E17" s="73">
        <v>3200</v>
      </c>
    </row>
    <row r="18" spans="1:5" ht="15" thickBot="1" x14ac:dyDescent="0.35">
      <c r="A18" s="74" t="s">
        <v>71</v>
      </c>
      <c r="B18" s="69" t="s">
        <v>72</v>
      </c>
      <c r="C18" s="76">
        <f>C19+C20+C21+C22+C23+C24+C25+C26+C27+C28</f>
        <v>949504</v>
      </c>
      <c r="D18" s="76">
        <f>D19+D20+D21+D22+D23+D24+D25+D26+D27+D28</f>
        <v>1016955</v>
      </c>
      <c r="E18" s="76">
        <f>E19+E20+E21+E22+E23+E24+E25+E26+E27+E28</f>
        <v>1085136</v>
      </c>
    </row>
    <row r="19" spans="1:5" ht="15" thickBot="1" x14ac:dyDescent="0.35">
      <c r="A19" s="71">
        <v>50103</v>
      </c>
      <c r="B19" s="77" t="s">
        <v>179</v>
      </c>
      <c r="C19" s="73">
        <v>1500</v>
      </c>
      <c r="D19" s="73">
        <v>2000</v>
      </c>
      <c r="E19" s="73">
        <v>2200</v>
      </c>
    </row>
    <row r="20" spans="1:5" ht="15" thickBot="1" x14ac:dyDescent="0.35">
      <c r="A20" s="71">
        <v>50217</v>
      </c>
      <c r="B20" s="72" t="s">
        <v>106</v>
      </c>
      <c r="C20" s="73">
        <v>96000</v>
      </c>
      <c r="D20" s="73">
        <v>98000</v>
      </c>
      <c r="E20" s="73">
        <f>100000+4930</f>
        <v>104930</v>
      </c>
    </row>
    <row r="21" spans="1:5" ht="15" thickBot="1" x14ac:dyDescent="0.35">
      <c r="A21" s="71">
        <v>50001</v>
      </c>
      <c r="B21" s="72" t="s">
        <v>73</v>
      </c>
      <c r="C21" s="73">
        <v>100000</v>
      </c>
      <c r="D21" s="73">
        <v>110000</v>
      </c>
      <c r="E21" s="73">
        <v>115000</v>
      </c>
    </row>
    <row r="22" spans="1:5" ht="15" thickBot="1" x14ac:dyDescent="0.35">
      <c r="A22" s="71">
        <v>50407</v>
      </c>
      <c r="B22" s="72" t="s">
        <v>74</v>
      </c>
      <c r="C22" s="73">
        <v>17000</v>
      </c>
      <c r="D22" s="73">
        <v>20000</v>
      </c>
      <c r="E22" s="73">
        <v>25006</v>
      </c>
    </row>
    <row r="23" spans="1:5" ht="15" thickBot="1" x14ac:dyDescent="0.35">
      <c r="A23" s="71">
        <v>50408</v>
      </c>
      <c r="B23" s="72" t="s">
        <v>75</v>
      </c>
      <c r="C23" s="73">
        <v>15000</v>
      </c>
      <c r="D23" s="73">
        <v>20000</v>
      </c>
      <c r="E23" s="73">
        <v>25000</v>
      </c>
    </row>
    <row r="24" spans="1:5" ht="15" thickBot="1" x14ac:dyDescent="0.35">
      <c r="A24" s="71">
        <v>50403</v>
      </c>
      <c r="B24" s="72" t="s">
        <v>76</v>
      </c>
      <c r="C24" s="73">
        <v>10000</v>
      </c>
      <c r="D24" s="73">
        <v>15000</v>
      </c>
      <c r="E24" s="73">
        <v>20000</v>
      </c>
    </row>
    <row r="25" spans="1:5" ht="15" thickBot="1" x14ac:dyDescent="0.35">
      <c r="A25" s="71">
        <v>50405</v>
      </c>
      <c r="B25" s="72" t="s">
        <v>77</v>
      </c>
      <c r="C25" s="73">
        <v>10000</v>
      </c>
      <c r="D25" s="73">
        <v>11000</v>
      </c>
      <c r="E25" s="73">
        <v>13000</v>
      </c>
    </row>
    <row r="26" spans="1:5" ht="15" thickBot="1" x14ac:dyDescent="0.35">
      <c r="A26" s="71"/>
      <c r="B26" s="72"/>
      <c r="C26" s="73"/>
      <c r="D26" s="73"/>
      <c r="E26" s="73"/>
    </row>
    <row r="27" spans="1:5" ht="15" thickBot="1" x14ac:dyDescent="0.35">
      <c r="A27" s="71">
        <v>40110</v>
      </c>
      <c r="B27" s="72" t="s">
        <v>78</v>
      </c>
      <c r="C27" s="73">
        <v>490000</v>
      </c>
      <c r="D27" s="73">
        <f>510000+955</f>
        <v>510955</v>
      </c>
      <c r="E27" s="73">
        <v>540000</v>
      </c>
    </row>
    <row r="28" spans="1:5" ht="15" thickBot="1" x14ac:dyDescent="0.35">
      <c r="A28" s="71"/>
      <c r="B28" s="72" t="s">
        <v>79</v>
      </c>
      <c r="C28" s="73">
        <f>200000+10004</f>
        <v>210004</v>
      </c>
      <c r="D28" s="73">
        <v>230000</v>
      </c>
      <c r="E28" s="73">
        <v>240000</v>
      </c>
    </row>
    <row r="29" spans="1:5" ht="15" thickBot="1" x14ac:dyDescent="0.35">
      <c r="A29" s="78" t="s">
        <v>80</v>
      </c>
      <c r="B29" s="79" t="s">
        <v>81</v>
      </c>
      <c r="C29" s="80">
        <f>C3+C6+C9+C11+C18</f>
        <v>1384504</v>
      </c>
      <c r="D29" s="80">
        <f>D3+D6+D9+D11+D18</f>
        <v>1488855</v>
      </c>
      <c r="E29" s="80">
        <f>E3+E6+E9+E11+E18</f>
        <v>1594536</v>
      </c>
    </row>
    <row r="30" spans="1:5" ht="15" thickBot="1" x14ac:dyDescent="0.35">
      <c r="A30" s="81"/>
      <c r="B30" s="82" t="s">
        <v>82</v>
      </c>
      <c r="C30" s="83"/>
      <c r="D30" s="83"/>
      <c r="E30" s="83"/>
    </row>
    <row r="31" spans="1:5" ht="15" thickBot="1" x14ac:dyDescent="0.35">
      <c r="A31" s="81">
        <v>50409</v>
      </c>
      <c r="B31" s="72" t="s">
        <v>83</v>
      </c>
      <c r="C31" s="73">
        <v>25000</v>
      </c>
      <c r="D31" s="73">
        <v>26000</v>
      </c>
      <c r="E31" s="73">
        <v>29000</v>
      </c>
    </row>
    <row r="32" spans="1:5" ht="15" thickBot="1" x14ac:dyDescent="0.35">
      <c r="A32" s="81">
        <v>50409</v>
      </c>
      <c r="B32" s="72" t="s">
        <v>84</v>
      </c>
      <c r="C32" s="155"/>
      <c r="D32" s="155"/>
      <c r="E32" s="155"/>
    </row>
    <row r="33" spans="1:5" ht="15" thickBot="1" x14ac:dyDescent="0.35">
      <c r="A33" s="81">
        <v>50409</v>
      </c>
      <c r="B33" s="72" t="s">
        <v>85</v>
      </c>
      <c r="C33" s="73">
        <v>47000</v>
      </c>
      <c r="D33" s="73">
        <v>50000</v>
      </c>
      <c r="E33" s="73">
        <v>50000</v>
      </c>
    </row>
    <row r="34" spans="1:5" ht="15" thickBot="1" x14ac:dyDescent="0.35">
      <c r="A34" s="78" t="s">
        <v>86</v>
      </c>
      <c r="B34" s="79" t="s">
        <v>87</v>
      </c>
      <c r="C34" s="80">
        <f>C31+C32+C33</f>
        <v>72000</v>
      </c>
      <c r="D34" s="80">
        <f t="shared" ref="D34:E34" si="3">D31+D32+D33</f>
        <v>76000</v>
      </c>
      <c r="E34" s="80">
        <f t="shared" si="3"/>
        <v>79000</v>
      </c>
    </row>
    <row r="35" spans="1:5" ht="15" thickBot="1" x14ac:dyDescent="0.35">
      <c r="A35" s="81"/>
      <c r="B35" s="82" t="s">
        <v>88</v>
      </c>
      <c r="C35" s="83"/>
      <c r="D35" s="83"/>
      <c r="E35" s="83"/>
    </row>
    <row r="36" spans="1:5" ht="15" thickBot="1" x14ac:dyDescent="0.35">
      <c r="A36" s="81">
        <v>50409</v>
      </c>
      <c r="B36" s="72" t="s">
        <v>89</v>
      </c>
      <c r="C36" s="73">
        <v>39000</v>
      </c>
      <c r="D36" s="73">
        <v>42000</v>
      </c>
      <c r="E36" s="73">
        <v>47000</v>
      </c>
    </row>
    <row r="37" spans="1:5" ht="15" thickBot="1" x14ac:dyDescent="0.35">
      <c r="A37" s="81"/>
      <c r="B37" s="72"/>
      <c r="C37" s="73"/>
      <c r="D37" s="73"/>
      <c r="E37" s="73"/>
    </row>
    <row r="38" spans="1:5" ht="15" customHeight="1" thickBot="1" x14ac:dyDescent="0.35">
      <c r="A38" s="78" t="s">
        <v>90</v>
      </c>
      <c r="B38" s="79" t="s">
        <v>91</v>
      </c>
      <c r="C38" s="80">
        <f>C36+C37</f>
        <v>39000</v>
      </c>
      <c r="D38" s="80">
        <f t="shared" ref="D38:E38" si="4">D36+D37</f>
        <v>42000</v>
      </c>
      <c r="E38" s="80">
        <f t="shared" si="4"/>
        <v>47000</v>
      </c>
    </row>
    <row r="39" spans="1:5" ht="15" customHeight="1" thickBot="1" x14ac:dyDescent="0.35">
      <c r="A39" s="158" t="s">
        <v>92</v>
      </c>
      <c r="B39" s="159"/>
      <c r="C39" s="84">
        <f>C29+C34+C38</f>
        <v>1495504</v>
      </c>
      <c r="D39" s="84">
        <f t="shared" ref="D39:E39" si="5">D29+D34+D38</f>
        <v>1606855</v>
      </c>
      <c r="E39" s="84">
        <f t="shared" si="5"/>
        <v>1720536</v>
      </c>
    </row>
  </sheetData>
  <mergeCells count="1">
    <mergeCell ref="A39:B39"/>
  </mergeCells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3"/>
  <sheetViews>
    <sheetView zoomScaleNormal="100" workbookViewId="0"/>
  </sheetViews>
  <sheetFormatPr defaultRowHeight="14.4" x14ac:dyDescent="0.3"/>
  <cols>
    <col min="1" max="1" width="4" customWidth="1"/>
    <col min="2" max="2" width="2.5546875" customWidth="1"/>
    <col min="3" max="3" width="21" customWidth="1"/>
    <col min="4" max="5" width="14.6640625" customWidth="1"/>
    <col min="6" max="6" width="14.5546875" customWidth="1"/>
    <col min="7" max="7" width="15" customWidth="1"/>
    <col min="9" max="9" width="10.109375" bestFit="1" customWidth="1"/>
  </cols>
  <sheetData>
    <row r="1" spans="1:11" ht="15" thickBot="1" x14ac:dyDescent="0.35">
      <c r="A1" t="s">
        <v>35</v>
      </c>
    </row>
    <row r="2" spans="1:11" ht="45" customHeight="1" thickBot="1" x14ac:dyDescent="0.35">
      <c r="A2" s="8"/>
      <c r="B2" s="162" t="s">
        <v>7</v>
      </c>
      <c r="C2" s="162"/>
      <c r="D2" s="43">
        <v>2024</v>
      </c>
      <c r="E2" s="43" t="s">
        <v>107</v>
      </c>
      <c r="F2" s="43" t="s">
        <v>108</v>
      </c>
      <c r="G2" s="44" t="s">
        <v>109</v>
      </c>
    </row>
    <row r="3" spans="1:11" ht="16.2" thickBot="1" x14ac:dyDescent="0.35">
      <c r="A3" s="9"/>
      <c r="B3" s="160"/>
      <c r="C3" s="160"/>
      <c r="D3" s="11"/>
      <c r="E3" s="10"/>
      <c r="F3" s="10"/>
      <c r="G3" s="105"/>
    </row>
    <row r="4" spans="1:11" ht="42.75" customHeight="1" thickBot="1" x14ac:dyDescent="0.35">
      <c r="A4" s="40">
        <v>1</v>
      </c>
      <c r="B4" s="161" t="s">
        <v>8</v>
      </c>
      <c r="C4" s="161"/>
      <c r="D4" s="12">
        <f>D5+D6</f>
        <v>14648717</v>
      </c>
      <c r="E4" s="12">
        <f>E5+E6</f>
        <v>16168653</v>
      </c>
      <c r="F4" s="12">
        <f>F5+F6</f>
        <v>16878455</v>
      </c>
      <c r="G4" s="12">
        <f>G5+G6</f>
        <v>17657166</v>
      </c>
    </row>
    <row r="5" spans="1:11" ht="30" customHeight="1" thickBot="1" x14ac:dyDescent="0.35">
      <c r="A5" s="19">
        <v>1</v>
      </c>
      <c r="B5" s="20"/>
      <c r="C5" s="13" t="s">
        <v>9</v>
      </c>
      <c r="D5" s="21">
        <v>1436260</v>
      </c>
      <c r="E5" s="21">
        <v>1495504</v>
      </c>
      <c r="F5" s="21">
        <v>1606855</v>
      </c>
      <c r="G5" s="21">
        <v>1720536</v>
      </c>
    </row>
    <row r="6" spans="1:11" ht="28.2" thickBot="1" x14ac:dyDescent="0.35">
      <c r="A6" s="22">
        <v>1</v>
      </c>
      <c r="B6" s="23"/>
      <c r="C6" s="14" t="s">
        <v>17</v>
      </c>
      <c r="D6" s="24">
        <v>13212457</v>
      </c>
      <c r="E6" s="24">
        <v>14673149</v>
      </c>
      <c r="F6" s="24">
        <v>15271600</v>
      </c>
      <c r="G6" s="24">
        <v>15936630</v>
      </c>
    </row>
    <row r="7" spans="1:11" ht="42" thickBot="1" x14ac:dyDescent="0.35">
      <c r="A7" s="41">
        <v>2</v>
      </c>
      <c r="B7" s="106"/>
      <c r="C7" s="42" t="s">
        <v>10</v>
      </c>
      <c r="D7" s="12">
        <f>D8+D13</f>
        <v>14648717</v>
      </c>
      <c r="E7" s="12">
        <f>E8+E13</f>
        <v>16168653</v>
      </c>
      <c r="F7" s="12">
        <f>F8+F13</f>
        <v>16878455</v>
      </c>
      <c r="G7" s="12">
        <f>G8+G13</f>
        <v>17657167</v>
      </c>
    </row>
    <row r="8" spans="1:11" ht="33" customHeight="1" thickBot="1" x14ac:dyDescent="0.35">
      <c r="A8" s="25">
        <v>2.1</v>
      </c>
      <c r="B8" s="26"/>
      <c r="C8" s="15" t="s">
        <v>11</v>
      </c>
      <c r="D8" s="16">
        <f>D9+D10+D11+D12</f>
        <v>10496857</v>
      </c>
      <c r="E8" s="16">
        <f>E9+E10+E11+E12</f>
        <v>11762032</v>
      </c>
      <c r="F8" s="16">
        <f>F9+F10+F11+F12</f>
        <v>12341744</v>
      </c>
      <c r="G8" s="16">
        <f>G9+G10+G11+G12</f>
        <v>12960155</v>
      </c>
    </row>
    <row r="9" spans="1:11" ht="26.25" customHeight="1" thickBot="1" x14ac:dyDescent="0.35">
      <c r="A9" s="27"/>
      <c r="B9" s="28"/>
      <c r="C9" s="17" t="s">
        <v>12</v>
      </c>
      <c r="D9" s="29">
        <v>7936857</v>
      </c>
      <c r="E9" s="30">
        <v>8892032</v>
      </c>
      <c r="F9" s="30">
        <v>9381094</v>
      </c>
      <c r="G9" s="30">
        <v>9878292</v>
      </c>
      <c r="I9" s="45"/>
      <c r="J9" s="45"/>
      <c r="K9" s="45"/>
    </row>
    <row r="10" spans="1:11" ht="27" customHeight="1" thickBot="1" x14ac:dyDescent="0.35">
      <c r="A10" s="31"/>
      <c r="B10" s="32"/>
      <c r="C10" s="18" t="s">
        <v>13</v>
      </c>
      <c r="D10" s="29">
        <v>1710000</v>
      </c>
      <c r="E10" s="30">
        <v>1700000</v>
      </c>
      <c r="F10" s="30">
        <v>1734000</v>
      </c>
      <c r="G10" s="30">
        <v>1768680</v>
      </c>
    </row>
    <row r="11" spans="1:11" ht="25.5" customHeight="1" thickBot="1" x14ac:dyDescent="0.35">
      <c r="A11" s="31"/>
      <c r="B11" s="32"/>
      <c r="C11" s="18" t="s">
        <v>14</v>
      </c>
      <c r="D11" s="29">
        <v>250000</v>
      </c>
      <c r="E11" s="30">
        <v>370000</v>
      </c>
      <c r="F11" s="30">
        <v>386650</v>
      </c>
      <c r="G11" s="30">
        <v>405983</v>
      </c>
      <c r="I11" s="45"/>
      <c r="J11" s="45"/>
      <c r="K11" s="45"/>
    </row>
    <row r="12" spans="1:11" ht="27" customHeight="1" thickBot="1" x14ac:dyDescent="0.35">
      <c r="A12" s="34"/>
      <c r="B12" s="33"/>
      <c r="C12" s="18" t="s">
        <v>15</v>
      </c>
      <c r="D12" s="29">
        <v>600000</v>
      </c>
      <c r="E12" s="30">
        <v>800000</v>
      </c>
      <c r="F12" s="30">
        <v>840000</v>
      </c>
      <c r="G12" s="30">
        <v>907200</v>
      </c>
    </row>
    <row r="13" spans="1:11" ht="27" customHeight="1" thickBot="1" x14ac:dyDescent="0.35">
      <c r="A13" s="35">
        <v>2.2999999999999998</v>
      </c>
      <c r="B13" s="36"/>
      <c r="C13" s="15" t="s">
        <v>16</v>
      </c>
      <c r="D13" s="37">
        <v>4151860</v>
      </c>
      <c r="E13" s="38">
        <v>4406621</v>
      </c>
      <c r="F13" s="39">
        <v>4536711</v>
      </c>
      <c r="G13" s="39">
        <v>4697012</v>
      </c>
      <c r="I13" s="45"/>
      <c r="J13" s="45"/>
      <c r="K13" s="45"/>
    </row>
  </sheetData>
  <mergeCells count="3">
    <mergeCell ref="B3:C3"/>
    <mergeCell ref="B4:C4"/>
    <mergeCell ref="B2:C2"/>
  </mergeCells>
  <pageMargins left="0.7" right="0.7" top="0.75" bottom="0.75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A6331-6AB9-4750-AB9B-48EEA43F06A1}">
  <dimension ref="A1:J29"/>
  <sheetViews>
    <sheetView zoomScaleNormal="100" workbookViewId="0">
      <selection activeCell="C21" sqref="C21:G21"/>
    </sheetView>
  </sheetViews>
  <sheetFormatPr defaultRowHeight="14.4" x14ac:dyDescent="0.3"/>
  <cols>
    <col min="1" max="1" width="28.109375" customWidth="1"/>
    <col min="2" max="2" width="6" customWidth="1"/>
    <col min="3" max="3" width="16.33203125" customWidth="1"/>
    <col min="4" max="4" width="13.33203125" customWidth="1"/>
    <col min="5" max="5" width="11.33203125" customWidth="1"/>
    <col min="6" max="6" width="11.5546875" customWidth="1"/>
    <col min="7" max="7" width="13.109375" customWidth="1"/>
    <col min="8" max="8" width="14.33203125" customWidth="1"/>
    <col min="10" max="10" width="10.109375" bestFit="1" customWidth="1"/>
  </cols>
  <sheetData>
    <row r="1" spans="1:10" x14ac:dyDescent="0.3">
      <c r="A1" t="s">
        <v>175</v>
      </c>
    </row>
    <row r="2" spans="1:10" ht="45" customHeight="1" x14ac:dyDescent="0.3">
      <c r="A2" s="163" t="s">
        <v>18</v>
      </c>
      <c r="B2" s="145"/>
      <c r="C2" s="165">
        <v>2025</v>
      </c>
      <c r="D2" s="165"/>
      <c r="E2" s="165"/>
      <c r="F2" s="165"/>
      <c r="G2" s="165"/>
      <c r="H2" s="138"/>
    </row>
    <row r="3" spans="1:10" ht="40.200000000000003" x14ac:dyDescent="0.3">
      <c r="A3" s="164"/>
      <c r="B3" s="146" t="s">
        <v>174</v>
      </c>
      <c r="C3" s="138" t="s">
        <v>167</v>
      </c>
      <c r="D3" s="139" t="s">
        <v>168</v>
      </c>
      <c r="E3" s="139" t="s">
        <v>169</v>
      </c>
      <c r="F3" s="139" t="s">
        <v>170</v>
      </c>
      <c r="G3" s="138" t="s">
        <v>171</v>
      </c>
      <c r="H3" s="139" t="s">
        <v>172</v>
      </c>
    </row>
    <row r="4" spans="1:10" x14ac:dyDescent="0.3">
      <c r="A4" s="46" t="s">
        <v>19</v>
      </c>
      <c r="B4" s="46">
        <v>21</v>
      </c>
      <c r="C4" s="91">
        <v>237140.92</v>
      </c>
      <c r="D4" s="140">
        <v>16000</v>
      </c>
      <c r="E4" s="140"/>
      <c r="F4" s="140">
        <v>295000</v>
      </c>
      <c r="G4" s="141"/>
      <c r="H4" s="140">
        <f>C4+D4+E4+F4+G4</f>
        <v>548140.92000000004</v>
      </c>
    </row>
    <row r="5" spans="1:10" x14ac:dyDescent="0.3">
      <c r="A5" s="46" t="s">
        <v>20</v>
      </c>
      <c r="B5" s="46">
        <v>27</v>
      </c>
      <c r="C5" s="91">
        <v>261547.48</v>
      </c>
      <c r="D5" s="140">
        <v>5000</v>
      </c>
      <c r="E5" s="140"/>
      <c r="F5" s="140"/>
      <c r="G5" s="141"/>
      <c r="H5" s="140">
        <f t="shared" ref="H5:H20" si="0">C5+D5+E5+F5+G5</f>
        <v>266547.48</v>
      </c>
    </row>
    <row r="6" spans="1:10" x14ac:dyDescent="0.3">
      <c r="A6" s="46" t="s">
        <v>21</v>
      </c>
      <c r="B6" s="46">
        <v>38</v>
      </c>
      <c r="C6" s="91">
        <v>264636.62</v>
      </c>
      <c r="D6" s="140">
        <v>80000</v>
      </c>
      <c r="E6" s="140"/>
      <c r="F6" s="140"/>
      <c r="G6" s="141">
        <v>40000</v>
      </c>
      <c r="H6" s="140">
        <f t="shared" si="0"/>
        <v>384636.62</v>
      </c>
    </row>
    <row r="7" spans="1:10" x14ac:dyDescent="0.3">
      <c r="A7" s="46" t="s">
        <v>34</v>
      </c>
      <c r="B7" s="46">
        <v>1</v>
      </c>
      <c r="C7" s="91">
        <v>9392.99</v>
      </c>
      <c r="D7" s="140">
        <v>500</v>
      </c>
      <c r="E7" s="140"/>
      <c r="F7" s="140">
        <v>4000</v>
      </c>
      <c r="G7" s="141"/>
      <c r="H7" s="140">
        <f t="shared" si="0"/>
        <v>13892.99</v>
      </c>
    </row>
    <row r="8" spans="1:10" x14ac:dyDescent="0.3">
      <c r="A8" s="46" t="s">
        <v>22</v>
      </c>
      <c r="B8" s="46">
        <v>8</v>
      </c>
      <c r="C8" s="91">
        <v>75811.740000000005</v>
      </c>
      <c r="D8" s="140">
        <v>32000</v>
      </c>
      <c r="E8" s="140"/>
      <c r="F8" s="140"/>
      <c r="G8" s="141"/>
      <c r="H8" s="140">
        <f t="shared" si="0"/>
        <v>107811.74</v>
      </c>
    </row>
    <row r="9" spans="1:10" x14ac:dyDescent="0.3">
      <c r="A9" s="46" t="s">
        <v>23</v>
      </c>
      <c r="B9" s="46">
        <v>21</v>
      </c>
      <c r="C9" s="91">
        <v>174628.4</v>
      </c>
      <c r="D9" s="140">
        <v>47137</v>
      </c>
      <c r="E9" s="140">
        <v>242000</v>
      </c>
      <c r="F9" s="140"/>
      <c r="G9" s="141"/>
      <c r="H9" s="140">
        <f t="shared" si="0"/>
        <v>463765.4</v>
      </c>
      <c r="J9" s="45"/>
    </row>
    <row r="10" spans="1:10" x14ac:dyDescent="0.3">
      <c r="A10" s="46" t="s">
        <v>24</v>
      </c>
      <c r="B10" s="46">
        <v>1</v>
      </c>
      <c r="C10" s="91">
        <v>13309.76</v>
      </c>
      <c r="D10" s="140">
        <f>330692+65000</f>
        <v>395692</v>
      </c>
      <c r="E10" s="140"/>
      <c r="F10" s="140"/>
      <c r="G10" s="141">
        <v>653000</v>
      </c>
      <c r="H10" s="140">
        <f t="shared" si="0"/>
        <v>1062001.76</v>
      </c>
    </row>
    <row r="11" spans="1:10" x14ac:dyDescent="0.3">
      <c r="A11" s="46" t="s">
        <v>25</v>
      </c>
      <c r="B11" s="46">
        <v>17</v>
      </c>
      <c r="C11" s="91">
        <v>172228.35</v>
      </c>
      <c r="D11" s="140">
        <v>15000</v>
      </c>
      <c r="E11" s="140"/>
      <c r="F11" s="140"/>
      <c r="G11" s="141"/>
      <c r="H11" s="140">
        <f t="shared" si="0"/>
        <v>187228.35</v>
      </c>
      <c r="J11" s="45"/>
    </row>
    <row r="12" spans="1:10" x14ac:dyDescent="0.3">
      <c r="A12" s="46" t="s">
        <v>26</v>
      </c>
      <c r="B12" s="46">
        <v>4</v>
      </c>
      <c r="C12" s="91">
        <v>34185.64</v>
      </c>
      <c r="D12" s="140">
        <v>5000</v>
      </c>
      <c r="E12" s="140"/>
      <c r="F12" s="140"/>
      <c r="G12" s="141"/>
      <c r="H12" s="140">
        <f t="shared" si="0"/>
        <v>39185.64</v>
      </c>
    </row>
    <row r="13" spans="1:10" ht="27" customHeight="1" x14ac:dyDescent="0.3">
      <c r="A13" s="46" t="s">
        <v>27</v>
      </c>
      <c r="B13" s="46">
        <v>5</v>
      </c>
      <c r="C13" s="91">
        <v>48362.46</v>
      </c>
      <c r="D13" s="140">
        <v>13000</v>
      </c>
      <c r="E13" s="140"/>
      <c r="F13" s="140">
        <v>231000</v>
      </c>
      <c r="G13" s="141">
        <v>140000</v>
      </c>
      <c r="H13" s="140">
        <f t="shared" si="0"/>
        <v>432362.46</v>
      </c>
      <c r="J13" s="45"/>
    </row>
    <row r="14" spans="1:10" x14ac:dyDescent="0.3">
      <c r="A14" s="46" t="s">
        <v>28</v>
      </c>
      <c r="B14" s="46">
        <v>9</v>
      </c>
      <c r="C14" s="91">
        <v>71730.41</v>
      </c>
      <c r="D14" s="140">
        <v>15000</v>
      </c>
      <c r="E14" s="140"/>
      <c r="F14" s="140"/>
      <c r="G14" s="141">
        <v>12000</v>
      </c>
      <c r="H14" s="140">
        <f t="shared" si="0"/>
        <v>98730.41</v>
      </c>
    </row>
    <row r="15" spans="1:10" x14ac:dyDescent="0.3">
      <c r="A15" s="47" t="s">
        <v>29</v>
      </c>
      <c r="B15" s="47">
        <v>6</v>
      </c>
      <c r="C15" s="91">
        <v>60112.57</v>
      </c>
      <c r="D15" s="140">
        <f>60200+3000</f>
        <v>63200</v>
      </c>
      <c r="E15" s="140"/>
      <c r="F15" s="140"/>
      <c r="G15" s="141">
        <v>2971621</v>
      </c>
      <c r="H15" s="140">
        <f t="shared" si="0"/>
        <v>3094933.57</v>
      </c>
    </row>
    <row r="16" spans="1:10" x14ac:dyDescent="0.3">
      <c r="A16" s="47" t="s">
        <v>30</v>
      </c>
      <c r="B16" s="47">
        <v>143</v>
      </c>
      <c r="C16" s="91">
        <v>1430970</v>
      </c>
      <c r="D16" s="140">
        <v>450000</v>
      </c>
      <c r="E16" s="140">
        <v>43000</v>
      </c>
      <c r="F16" s="142"/>
      <c r="G16" s="141">
        <v>70000</v>
      </c>
      <c r="H16" s="140">
        <f t="shared" si="0"/>
        <v>1993970</v>
      </c>
    </row>
    <row r="17" spans="1:8" x14ac:dyDescent="0.3">
      <c r="A17" s="47" t="s">
        <v>31</v>
      </c>
      <c r="B17" s="47">
        <v>11</v>
      </c>
      <c r="C17" s="91">
        <v>90103.51</v>
      </c>
      <c r="D17" s="140">
        <v>12000</v>
      </c>
      <c r="E17" s="140">
        <v>5000</v>
      </c>
      <c r="F17" s="140"/>
      <c r="G17" s="141"/>
      <c r="H17" s="140">
        <f t="shared" si="0"/>
        <v>107103.51</v>
      </c>
    </row>
    <row r="18" spans="1:8" x14ac:dyDescent="0.3">
      <c r="A18" s="90" t="s">
        <v>110</v>
      </c>
      <c r="B18" s="148">
        <v>13</v>
      </c>
      <c r="C18" s="91">
        <v>71000</v>
      </c>
      <c r="D18" s="140">
        <v>45000</v>
      </c>
      <c r="E18" s="140">
        <v>5000</v>
      </c>
      <c r="F18" s="140"/>
      <c r="G18" s="141">
        <v>260000</v>
      </c>
      <c r="H18" s="140">
        <f t="shared" si="0"/>
        <v>381000</v>
      </c>
    </row>
    <row r="19" spans="1:8" x14ac:dyDescent="0.3">
      <c r="A19" s="47" t="s">
        <v>32</v>
      </c>
      <c r="B19" s="47">
        <v>13</v>
      </c>
      <c r="C19" s="91">
        <v>101651.95</v>
      </c>
      <c r="D19" s="140">
        <v>48000</v>
      </c>
      <c r="E19" s="140"/>
      <c r="F19" s="140">
        <v>120000</v>
      </c>
      <c r="G19" s="141">
        <v>50000</v>
      </c>
      <c r="H19" s="140">
        <f t="shared" si="0"/>
        <v>319651.95</v>
      </c>
    </row>
    <row r="20" spans="1:8" x14ac:dyDescent="0.3">
      <c r="A20" s="47" t="s">
        <v>33</v>
      </c>
      <c r="B20" s="47">
        <v>647</v>
      </c>
      <c r="C20" s="91">
        <v>5775219.2000000002</v>
      </c>
      <c r="D20" s="140">
        <f>461464-3993</f>
        <v>457471</v>
      </c>
      <c r="E20" s="140">
        <v>75000</v>
      </c>
      <c r="F20" s="140">
        <v>150000</v>
      </c>
      <c r="G20" s="64">
        <v>210000</v>
      </c>
      <c r="H20" s="140">
        <f t="shared" si="0"/>
        <v>6667690.2000000002</v>
      </c>
    </row>
    <row r="21" spans="1:8" ht="15" thickBot="1" x14ac:dyDescent="0.35">
      <c r="A21" s="143" t="s">
        <v>173</v>
      </c>
      <c r="B21" s="147">
        <f>SUM(B4:B20)</f>
        <v>985</v>
      </c>
      <c r="C21" s="144">
        <f t="shared" ref="C21:H21" si="1">SUM(C4:C20)</f>
        <v>8892032</v>
      </c>
      <c r="D21" s="144">
        <f t="shared" si="1"/>
        <v>1700000</v>
      </c>
      <c r="E21" s="144">
        <f t="shared" si="1"/>
        <v>370000</v>
      </c>
      <c r="F21" s="144">
        <f t="shared" si="1"/>
        <v>800000</v>
      </c>
      <c r="G21" s="144">
        <f t="shared" si="1"/>
        <v>4406621</v>
      </c>
      <c r="H21" s="144">
        <f t="shared" si="1"/>
        <v>16168653</v>
      </c>
    </row>
    <row r="23" spans="1:8" x14ac:dyDescent="0.3">
      <c r="D23" s="7"/>
    </row>
    <row r="24" spans="1:8" ht="17.25" customHeight="1" x14ac:dyDescent="0.3"/>
    <row r="25" spans="1:8" ht="16.5" customHeight="1" x14ac:dyDescent="0.3"/>
    <row r="26" spans="1:8" ht="18.75" customHeight="1" x14ac:dyDescent="0.3"/>
    <row r="27" spans="1:8" ht="18" customHeight="1" x14ac:dyDescent="0.3"/>
    <row r="29" spans="1:8" ht="21" customHeight="1" x14ac:dyDescent="0.3"/>
  </sheetData>
  <mergeCells count="2">
    <mergeCell ref="A2:A3"/>
    <mergeCell ref="C2:G2"/>
  </mergeCells>
  <pageMargins left="0.7" right="0.2" top="0.75" bottom="0.75" header="0.3" footer="0.3"/>
  <pageSetup paperSize="9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8C9E1-D927-4340-80ED-C9E3030697A1}">
  <dimension ref="A1:L23"/>
  <sheetViews>
    <sheetView zoomScaleNormal="100" workbookViewId="0"/>
  </sheetViews>
  <sheetFormatPr defaultRowHeight="14.4" x14ac:dyDescent="0.3"/>
  <cols>
    <col min="1" max="1" width="28.109375" customWidth="1"/>
    <col min="2" max="2" width="6" customWidth="1"/>
    <col min="3" max="3" width="16.33203125" customWidth="1"/>
    <col min="4" max="4" width="13.33203125" customWidth="1"/>
    <col min="5" max="5" width="11.33203125" customWidth="1"/>
    <col min="6" max="6" width="11.5546875" customWidth="1"/>
    <col min="7" max="7" width="13.109375" customWidth="1"/>
    <col min="8" max="8" width="14.33203125" customWidth="1"/>
    <col min="9" max="9" width="11.109375" bestFit="1" customWidth="1"/>
    <col min="10" max="10" width="10.109375" bestFit="1" customWidth="1"/>
  </cols>
  <sheetData>
    <row r="1" spans="1:12" x14ac:dyDescent="0.3">
      <c r="A1" t="s">
        <v>176</v>
      </c>
    </row>
    <row r="2" spans="1:12" ht="45" customHeight="1" x14ac:dyDescent="0.3">
      <c r="A2" s="163" t="s">
        <v>18</v>
      </c>
      <c r="B2" s="145"/>
      <c r="C2" s="165">
        <v>2026</v>
      </c>
      <c r="D2" s="165"/>
      <c r="E2" s="165"/>
      <c r="F2" s="165"/>
      <c r="G2" s="165"/>
      <c r="H2" s="138"/>
    </row>
    <row r="3" spans="1:12" ht="40.200000000000003" x14ac:dyDescent="0.3">
      <c r="A3" s="164"/>
      <c r="B3" s="146" t="s">
        <v>174</v>
      </c>
      <c r="C3" s="138" t="s">
        <v>167</v>
      </c>
      <c r="D3" s="139" t="s">
        <v>168</v>
      </c>
      <c r="E3" s="139" t="s">
        <v>169</v>
      </c>
      <c r="F3" s="139" t="s">
        <v>170</v>
      </c>
      <c r="G3" s="138" t="s">
        <v>171</v>
      </c>
      <c r="H3" s="139" t="s">
        <v>172</v>
      </c>
    </row>
    <row r="4" spans="1:12" x14ac:dyDescent="0.3">
      <c r="A4" s="46" t="s">
        <v>19</v>
      </c>
      <c r="B4" s="46">
        <v>21</v>
      </c>
      <c r="C4" s="91">
        <v>237140.92</v>
      </c>
      <c r="D4" s="140">
        <v>20000</v>
      </c>
      <c r="E4" s="140"/>
      <c r="F4" s="140">
        <f>295000+34000</f>
        <v>329000</v>
      </c>
      <c r="G4" s="141"/>
      <c r="H4" s="140">
        <f>C4+D4+E4+F4+G4</f>
        <v>586140.92000000004</v>
      </c>
    </row>
    <row r="5" spans="1:12" x14ac:dyDescent="0.3">
      <c r="A5" s="46" t="s">
        <v>20</v>
      </c>
      <c r="B5" s="46">
        <v>27</v>
      </c>
      <c r="C5" s="91">
        <v>261547.48</v>
      </c>
      <c r="D5" s="140">
        <v>5000</v>
      </c>
      <c r="E5" s="140"/>
      <c r="F5" s="140"/>
      <c r="G5" s="141"/>
      <c r="H5" s="140">
        <f t="shared" ref="H5:H20" si="0">C5+D5+E5+F5+G5</f>
        <v>266547.48</v>
      </c>
    </row>
    <row r="6" spans="1:12" x14ac:dyDescent="0.3">
      <c r="A6" s="46" t="s">
        <v>21</v>
      </c>
      <c r="B6" s="46">
        <v>38</v>
      </c>
      <c r="C6" s="91">
        <v>264636.62</v>
      </c>
      <c r="D6" s="140">
        <f>105000-9993</f>
        <v>95007</v>
      </c>
      <c r="E6" s="140"/>
      <c r="F6" s="140"/>
      <c r="G6" s="141">
        <v>85000</v>
      </c>
      <c r="H6" s="140">
        <f t="shared" si="0"/>
        <v>444643.62</v>
      </c>
    </row>
    <row r="7" spans="1:12" x14ac:dyDescent="0.3">
      <c r="A7" s="46" t="s">
        <v>34</v>
      </c>
      <c r="B7" s="46">
        <v>1</v>
      </c>
      <c r="C7" s="91">
        <v>9392.99</v>
      </c>
      <c r="D7" s="140">
        <v>500</v>
      </c>
      <c r="E7" s="140"/>
      <c r="F7" s="140">
        <v>4000</v>
      </c>
      <c r="G7" s="141"/>
      <c r="H7" s="140">
        <f t="shared" si="0"/>
        <v>13892.99</v>
      </c>
    </row>
    <row r="8" spans="1:12" x14ac:dyDescent="0.3">
      <c r="A8" s="46" t="s">
        <v>22</v>
      </c>
      <c r="B8" s="46">
        <v>8</v>
      </c>
      <c r="C8" s="91">
        <v>75811.740000000005</v>
      </c>
      <c r="D8" s="140">
        <v>32000</v>
      </c>
      <c r="E8" s="140"/>
      <c r="F8" s="140"/>
      <c r="G8" s="141"/>
      <c r="H8" s="140">
        <f t="shared" si="0"/>
        <v>107811.74</v>
      </c>
    </row>
    <row r="9" spans="1:12" x14ac:dyDescent="0.3">
      <c r="A9" s="46" t="s">
        <v>23</v>
      </c>
      <c r="B9" s="46">
        <v>21</v>
      </c>
      <c r="C9" s="91">
        <v>174628.4</v>
      </c>
      <c r="D9" s="140">
        <v>47137</v>
      </c>
      <c r="E9" s="140">
        <f>242000+6650</f>
        <v>248650</v>
      </c>
      <c r="F9" s="140"/>
      <c r="G9" s="141"/>
      <c r="H9" s="140">
        <f t="shared" si="0"/>
        <v>470415.4</v>
      </c>
      <c r="J9" s="45"/>
      <c r="K9" s="45"/>
      <c r="L9" s="45"/>
    </row>
    <row r="10" spans="1:12" x14ac:dyDescent="0.3">
      <c r="A10" s="46" t="s">
        <v>24</v>
      </c>
      <c r="B10" s="46">
        <v>1</v>
      </c>
      <c r="C10" s="91">
        <v>13309.76</v>
      </c>
      <c r="D10" s="140">
        <f>330692+65000+5000</f>
        <v>400692</v>
      </c>
      <c r="E10" s="140"/>
      <c r="F10" s="140"/>
      <c r="G10" s="141">
        <v>783655</v>
      </c>
      <c r="H10" s="140">
        <f t="shared" si="0"/>
        <v>1197656.76</v>
      </c>
    </row>
    <row r="11" spans="1:12" x14ac:dyDescent="0.3">
      <c r="A11" s="46" t="s">
        <v>25</v>
      </c>
      <c r="B11" s="46">
        <v>17</v>
      </c>
      <c r="C11" s="91">
        <v>172228.35</v>
      </c>
      <c r="D11" s="140">
        <v>15000</v>
      </c>
      <c r="E11" s="140"/>
      <c r="F11" s="140"/>
      <c r="G11" s="141"/>
      <c r="H11" s="140">
        <f t="shared" si="0"/>
        <v>187228.35</v>
      </c>
      <c r="J11" s="45"/>
      <c r="K11" s="45"/>
      <c r="L11" s="45"/>
    </row>
    <row r="12" spans="1:12" x14ac:dyDescent="0.3">
      <c r="A12" s="46" t="s">
        <v>26</v>
      </c>
      <c r="B12" s="46">
        <v>4</v>
      </c>
      <c r="C12" s="91">
        <v>34185.64</v>
      </c>
      <c r="D12" s="140">
        <v>5000</v>
      </c>
      <c r="E12" s="140"/>
      <c r="F12" s="140"/>
      <c r="G12" s="141"/>
      <c r="H12" s="140">
        <f t="shared" si="0"/>
        <v>39185.64</v>
      </c>
    </row>
    <row r="13" spans="1:12" ht="27" customHeight="1" x14ac:dyDescent="0.3">
      <c r="A13" s="46" t="s">
        <v>27</v>
      </c>
      <c r="B13" s="46">
        <v>5</v>
      </c>
      <c r="C13" s="91">
        <v>48362.46</v>
      </c>
      <c r="D13" s="140">
        <v>13000</v>
      </c>
      <c r="E13" s="140"/>
      <c r="F13" s="140">
        <v>231000</v>
      </c>
      <c r="G13" s="141">
        <v>160000</v>
      </c>
      <c r="H13" s="140">
        <f t="shared" si="0"/>
        <v>452362.46</v>
      </c>
      <c r="J13" s="45"/>
      <c r="K13" s="45"/>
      <c r="L13" s="45"/>
    </row>
    <row r="14" spans="1:12" x14ac:dyDescent="0.3">
      <c r="A14" s="46" t="s">
        <v>28</v>
      </c>
      <c r="B14" s="46">
        <v>9</v>
      </c>
      <c r="C14" s="91">
        <v>71730.41</v>
      </c>
      <c r="D14" s="140">
        <v>15000</v>
      </c>
      <c r="E14" s="140"/>
      <c r="F14" s="140"/>
      <c r="G14" s="141">
        <v>12000</v>
      </c>
      <c r="H14" s="140">
        <f t="shared" si="0"/>
        <v>98730.41</v>
      </c>
    </row>
    <row r="15" spans="1:12" x14ac:dyDescent="0.3">
      <c r="A15" s="47" t="s">
        <v>29</v>
      </c>
      <c r="B15" s="47">
        <v>6</v>
      </c>
      <c r="C15" s="91">
        <v>60112.57</v>
      </c>
      <c r="D15" s="140">
        <f>60200+3000</f>
        <v>63200</v>
      </c>
      <c r="E15" s="140"/>
      <c r="F15" s="140"/>
      <c r="G15" s="141">
        <v>3106056</v>
      </c>
      <c r="H15" s="140">
        <f t="shared" si="0"/>
        <v>3229368.57</v>
      </c>
    </row>
    <row r="16" spans="1:12" x14ac:dyDescent="0.3">
      <c r="A16" s="47" t="s">
        <v>30</v>
      </c>
      <c r="B16" s="47">
        <v>143</v>
      </c>
      <c r="C16" s="91">
        <f>1430970+140000</f>
        <v>1570970</v>
      </c>
      <c r="D16" s="140">
        <v>450000</v>
      </c>
      <c r="E16" s="140">
        <v>43000</v>
      </c>
      <c r="F16" s="142"/>
      <c r="G16" s="141">
        <v>80000</v>
      </c>
      <c r="H16" s="140">
        <f t="shared" si="0"/>
        <v>2143970</v>
      </c>
    </row>
    <row r="17" spans="1:9" x14ac:dyDescent="0.3">
      <c r="A17" s="47" t="s">
        <v>31</v>
      </c>
      <c r="B17" s="47">
        <v>11</v>
      </c>
      <c r="C17" s="91">
        <v>90103.51</v>
      </c>
      <c r="D17" s="140">
        <v>14000</v>
      </c>
      <c r="E17" s="140">
        <v>5000</v>
      </c>
      <c r="F17" s="140"/>
      <c r="G17" s="141"/>
      <c r="H17" s="140">
        <f t="shared" si="0"/>
        <v>109103.51</v>
      </c>
    </row>
    <row r="18" spans="1:9" x14ac:dyDescent="0.3">
      <c r="A18" s="90" t="s">
        <v>110</v>
      </c>
      <c r="B18" s="148">
        <v>13</v>
      </c>
      <c r="C18" s="91">
        <f>71000+60000</f>
        <v>131000</v>
      </c>
      <c r="D18" s="140">
        <v>45000</v>
      </c>
      <c r="E18" s="140">
        <v>5000</v>
      </c>
      <c r="F18" s="140"/>
      <c r="G18" s="141">
        <v>20000</v>
      </c>
      <c r="H18" s="91">
        <f t="shared" si="0"/>
        <v>201000</v>
      </c>
      <c r="I18" s="149"/>
    </row>
    <row r="19" spans="1:9" x14ac:dyDescent="0.3">
      <c r="A19" s="47" t="s">
        <v>32</v>
      </c>
      <c r="B19" s="47">
        <v>13</v>
      </c>
      <c r="C19" s="91">
        <v>101651.95</v>
      </c>
      <c r="D19" s="140">
        <v>48000</v>
      </c>
      <c r="E19" s="140"/>
      <c r="F19" s="140">
        <v>120000</v>
      </c>
      <c r="G19" s="141">
        <v>80000</v>
      </c>
      <c r="H19" s="140">
        <f t="shared" si="0"/>
        <v>349651.95</v>
      </c>
    </row>
    <row r="20" spans="1:9" x14ac:dyDescent="0.3">
      <c r="A20" s="47" t="s">
        <v>33</v>
      </c>
      <c r="B20" s="47">
        <v>647</v>
      </c>
      <c r="C20" s="91">
        <f>5775219.2+289062</f>
        <v>6064281.2000000002</v>
      </c>
      <c r="D20" s="140">
        <f>461464+4000</f>
        <v>465464</v>
      </c>
      <c r="E20" s="140">
        <f>75000+10000</f>
        <v>85000</v>
      </c>
      <c r="F20" s="140">
        <f>150000+6000</f>
        <v>156000</v>
      </c>
      <c r="G20" s="64">
        <v>210000</v>
      </c>
      <c r="H20" s="140">
        <f t="shared" si="0"/>
        <v>6980745.2000000002</v>
      </c>
    </row>
    <row r="21" spans="1:9" ht="15" thickBot="1" x14ac:dyDescent="0.35">
      <c r="A21" s="143" t="s">
        <v>173</v>
      </c>
      <c r="B21" s="147">
        <f>SUM(B4:B20)</f>
        <v>985</v>
      </c>
      <c r="C21" s="144">
        <f t="shared" ref="C21:H21" si="1">SUM(C4:C20)</f>
        <v>9381094</v>
      </c>
      <c r="D21" s="144">
        <f t="shared" si="1"/>
        <v>1734000</v>
      </c>
      <c r="E21" s="144">
        <f t="shared" si="1"/>
        <v>386650</v>
      </c>
      <c r="F21" s="144">
        <f t="shared" si="1"/>
        <v>840000</v>
      </c>
      <c r="G21" s="144">
        <f t="shared" si="1"/>
        <v>4536711</v>
      </c>
      <c r="H21" s="144">
        <f t="shared" si="1"/>
        <v>16878455</v>
      </c>
    </row>
    <row r="22" spans="1:9" x14ac:dyDescent="0.3">
      <c r="C22" s="7">
        <f>9381094-C21</f>
        <v>0</v>
      </c>
      <c r="D22" s="7"/>
    </row>
    <row r="23" spans="1:9" x14ac:dyDescent="0.3">
      <c r="D23" s="7"/>
    </row>
  </sheetData>
  <mergeCells count="2">
    <mergeCell ref="A2:A3"/>
    <mergeCell ref="C2:G2"/>
  </mergeCells>
  <pageMargins left="0.7" right="0.7" top="0.75" bottom="0.75" header="0.3" footer="0.3"/>
  <pageSetup paperSize="9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690CB-4606-4C8F-81F3-87900C11FF70}">
  <dimension ref="A1:L23"/>
  <sheetViews>
    <sheetView zoomScaleNormal="100" workbookViewId="0"/>
  </sheetViews>
  <sheetFormatPr defaultRowHeight="14.4" x14ac:dyDescent="0.3"/>
  <cols>
    <col min="1" max="1" width="28.109375" customWidth="1"/>
    <col min="2" max="2" width="6" customWidth="1"/>
    <col min="3" max="3" width="16.33203125" customWidth="1"/>
    <col min="4" max="4" width="13.33203125" customWidth="1"/>
    <col min="5" max="5" width="11.33203125" customWidth="1"/>
    <col min="6" max="6" width="11.5546875" customWidth="1"/>
    <col min="7" max="7" width="13.109375" customWidth="1"/>
    <col min="8" max="8" width="14.33203125" customWidth="1"/>
    <col min="9" max="9" width="11.109375" bestFit="1" customWidth="1"/>
    <col min="10" max="10" width="10.109375" bestFit="1" customWidth="1"/>
  </cols>
  <sheetData>
    <row r="1" spans="1:12" x14ac:dyDescent="0.3">
      <c r="A1" t="s">
        <v>177</v>
      </c>
    </row>
    <row r="2" spans="1:12" ht="45" customHeight="1" x14ac:dyDescent="0.3">
      <c r="A2" s="163" t="s">
        <v>18</v>
      </c>
      <c r="B2" s="145"/>
      <c r="C2" s="165">
        <v>2027</v>
      </c>
      <c r="D2" s="165"/>
      <c r="E2" s="165"/>
      <c r="F2" s="165"/>
      <c r="G2" s="165"/>
      <c r="H2" s="138"/>
    </row>
    <row r="3" spans="1:12" ht="40.200000000000003" x14ac:dyDescent="0.3">
      <c r="A3" s="164"/>
      <c r="B3" s="146" t="s">
        <v>174</v>
      </c>
      <c r="C3" s="138" t="s">
        <v>167</v>
      </c>
      <c r="D3" s="139" t="s">
        <v>168</v>
      </c>
      <c r="E3" s="139" t="s">
        <v>169</v>
      </c>
      <c r="F3" s="139" t="s">
        <v>170</v>
      </c>
      <c r="G3" s="138" t="s">
        <v>171</v>
      </c>
      <c r="H3" s="139" t="s">
        <v>172</v>
      </c>
    </row>
    <row r="4" spans="1:12" x14ac:dyDescent="0.3">
      <c r="A4" s="46" t="s">
        <v>19</v>
      </c>
      <c r="B4" s="46">
        <v>21</v>
      </c>
      <c r="C4" s="91">
        <f>237140.92+10000</f>
        <v>247140.92</v>
      </c>
      <c r="D4" s="140">
        <v>20000</v>
      </c>
      <c r="E4" s="140"/>
      <c r="F4" s="140">
        <f>295000+34000+61200</f>
        <v>390200</v>
      </c>
      <c r="G4" s="141"/>
      <c r="H4" s="140">
        <f>C4+D4+E4+F4+G4</f>
        <v>657340.92000000004</v>
      </c>
    </row>
    <row r="5" spans="1:12" x14ac:dyDescent="0.3">
      <c r="A5" s="46" t="s">
        <v>20</v>
      </c>
      <c r="B5" s="46">
        <v>27</v>
      </c>
      <c r="C5" s="91">
        <f>261547.48+15000</f>
        <v>276547.48</v>
      </c>
      <c r="D5" s="140">
        <v>5000</v>
      </c>
      <c r="E5" s="140"/>
      <c r="F5" s="140"/>
      <c r="G5" s="141"/>
      <c r="H5" s="140">
        <f t="shared" ref="H5:H20" si="0">C5+D5+E5+F5+G5</f>
        <v>281547.48</v>
      </c>
    </row>
    <row r="6" spans="1:12" x14ac:dyDescent="0.3">
      <c r="A6" s="46" t="s">
        <v>21</v>
      </c>
      <c r="B6" s="46">
        <v>38</v>
      </c>
      <c r="C6" s="91">
        <f>264636.62+25000</f>
        <v>289636.62</v>
      </c>
      <c r="D6" s="140">
        <v>99000</v>
      </c>
      <c r="E6" s="140"/>
      <c r="F6" s="140"/>
      <c r="G6" s="141">
        <v>85000</v>
      </c>
      <c r="H6" s="140">
        <f t="shared" si="0"/>
        <v>473636.62</v>
      </c>
    </row>
    <row r="7" spans="1:12" x14ac:dyDescent="0.3">
      <c r="A7" s="46" t="s">
        <v>34</v>
      </c>
      <c r="B7" s="46">
        <v>1</v>
      </c>
      <c r="C7" s="91">
        <f>9392.99+5000</f>
        <v>14392.99</v>
      </c>
      <c r="D7" s="140">
        <v>500</v>
      </c>
      <c r="E7" s="140"/>
      <c r="F7" s="140">
        <v>4000</v>
      </c>
      <c r="G7" s="141"/>
      <c r="H7" s="140">
        <f t="shared" si="0"/>
        <v>18892.989999999998</v>
      </c>
    </row>
    <row r="8" spans="1:12" x14ac:dyDescent="0.3">
      <c r="A8" s="46" t="s">
        <v>22</v>
      </c>
      <c r="B8" s="46">
        <v>8</v>
      </c>
      <c r="C8" s="91">
        <f>75811.74+10000</f>
        <v>85811.74</v>
      </c>
      <c r="D8" s="140">
        <v>32000</v>
      </c>
      <c r="E8" s="140"/>
      <c r="F8" s="140"/>
      <c r="G8" s="141"/>
      <c r="H8" s="140">
        <f t="shared" si="0"/>
        <v>117811.74</v>
      </c>
    </row>
    <row r="9" spans="1:12" x14ac:dyDescent="0.3">
      <c r="A9" s="46" t="s">
        <v>23</v>
      </c>
      <c r="B9" s="46">
        <v>21</v>
      </c>
      <c r="C9" s="91">
        <f>174628.4+25000</f>
        <v>199628.4</v>
      </c>
      <c r="D9" s="140">
        <v>47137</v>
      </c>
      <c r="E9" s="140">
        <f>242000+15483</f>
        <v>257483</v>
      </c>
      <c r="F9" s="140"/>
      <c r="G9" s="141"/>
      <c r="H9" s="140">
        <f t="shared" si="0"/>
        <v>504248.4</v>
      </c>
      <c r="J9" s="45"/>
      <c r="K9" s="45"/>
      <c r="L9" s="45"/>
    </row>
    <row r="10" spans="1:12" x14ac:dyDescent="0.3">
      <c r="A10" s="46" t="s">
        <v>24</v>
      </c>
      <c r="B10" s="46">
        <v>1</v>
      </c>
      <c r="C10" s="91">
        <f>13309.76+3000</f>
        <v>16309.76</v>
      </c>
      <c r="D10" s="140">
        <f>330692+65000+5000</f>
        <v>400692</v>
      </c>
      <c r="E10" s="140"/>
      <c r="F10" s="140"/>
      <c r="G10" s="141">
        <v>606642</v>
      </c>
      <c r="H10" s="140">
        <f t="shared" si="0"/>
        <v>1023643.76</v>
      </c>
    </row>
    <row r="11" spans="1:12" x14ac:dyDescent="0.3">
      <c r="A11" s="46" t="s">
        <v>25</v>
      </c>
      <c r="B11" s="46">
        <v>17</v>
      </c>
      <c r="C11" s="91">
        <f>172228.35+70000</f>
        <v>242228.35</v>
      </c>
      <c r="D11" s="140">
        <v>15000</v>
      </c>
      <c r="E11" s="140"/>
      <c r="F11" s="140"/>
      <c r="G11" s="141"/>
      <c r="H11" s="140">
        <f t="shared" si="0"/>
        <v>257228.35</v>
      </c>
      <c r="J11" s="45"/>
      <c r="K11" s="45"/>
      <c r="L11" s="45"/>
    </row>
    <row r="12" spans="1:12" x14ac:dyDescent="0.3">
      <c r="A12" s="46" t="s">
        <v>26</v>
      </c>
      <c r="B12" s="46">
        <v>4</v>
      </c>
      <c r="C12" s="91">
        <f>34185.64+5000</f>
        <v>39185.64</v>
      </c>
      <c r="D12" s="140">
        <v>5000</v>
      </c>
      <c r="E12" s="140"/>
      <c r="F12" s="140"/>
      <c r="G12" s="141"/>
      <c r="H12" s="140">
        <f t="shared" si="0"/>
        <v>44185.64</v>
      </c>
    </row>
    <row r="13" spans="1:12" ht="27" customHeight="1" x14ac:dyDescent="0.3">
      <c r="A13" s="46" t="s">
        <v>27</v>
      </c>
      <c r="B13" s="46">
        <v>5</v>
      </c>
      <c r="C13" s="91">
        <f>48362.46+10000</f>
        <v>58362.46</v>
      </c>
      <c r="D13" s="140">
        <v>13000</v>
      </c>
      <c r="E13" s="140"/>
      <c r="F13" s="140">
        <v>231000</v>
      </c>
      <c r="G13" s="141">
        <v>110000</v>
      </c>
      <c r="H13" s="140">
        <f t="shared" si="0"/>
        <v>412362.45999999996</v>
      </c>
      <c r="J13" s="45"/>
      <c r="K13" s="45"/>
      <c r="L13" s="45"/>
    </row>
    <row r="14" spans="1:12" x14ac:dyDescent="0.3">
      <c r="A14" s="46" t="s">
        <v>28</v>
      </c>
      <c r="B14" s="46">
        <v>9</v>
      </c>
      <c r="C14" s="91">
        <f>71730.41+15000</f>
        <v>86730.41</v>
      </c>
      <c r="D14" s="140">
        <v>15000</v>
      </c>
      <c r="E14" s="140"/>
      <c r="F14" s="140"/>
      <c r="G14" s="141">
        <v>12000</v>
      </c>
      <c r="H14" s="140">
        <f t="shared" si="0"/>
        <v>113730.41</v>
      </c>
    </row>
    <row r="15" spans="1:12" x14ac:dyDescent="0.3">
      <c r="A15" s="47" t="s">
        <v>29</v>
      </c>
      <c r="B15" s="47">
        <v>6</v>
      </c>
      <c r="C15" s="91">
        <f>60112.57+15000</f>
        <v>75112.570000000007</v>
      </c>
      <c r="D15" s="140">
        <f>60200+3000</f>
        <v>63200</v>
      </c>
      <c r="E15" s="140"/>
      <c r="F15" s="140"/>
      <c r="G15" s="141">
        <v>3508370</v>
      </c>
      <c r="H15" s="140">
        <f t="shared" si="0"/>
        <v>3646682.57</v>
      </c>
    </row>
    <row r="16" spans="1:12" x14ac:dyDescent="0.3">
      <c r="A16" s="47" t="s">
        <v>30</v>
      </c>
      <c r="B16" s="47">
        <v>143</v>
      </c>
      <c r="C16" s="91">
        <f>1430970+140000+100000</f>
        <v>1670970</v>
      </c>
      <c r="D16" s="140">
        <v>450000</v>
      </c>
      <c r="E16" s="140">
        <v>48500</v>
      </c>
      <c r="F16" s="142"/>
      <c r="G16" s="141">
        <v>85000</v>
      </c>
      <c r="H16" s="140">
        <f t="shared" si="0"/>
        <v>2254470</v>
      </c>
    </row>
    <row r="17" spans="1:9" x14ac:dyDescent="0.3">
      <c r="A17" s="47" t="s">
        <v>31</v>
      </c>
      <c r="B17" s="47">
        <v>11</v>
      </c>
      <c r="C17" s="91">
        <f>90103.51+10000</f>
        <v>100103.51</v>
      </c>
      <c r="D17" s="140">
        <v>14000</v>
      </c>
      <c r="E17" s="140">
        <v>5000</v>
      </c>
      <c r="F17" s="140"/>
      <c r="G17" s="141"/>
      <c r="H17" s="140">
        <f t="shared" si="0"/>
        <v>119103.51</v>
      </c>
    </row>
    <row r="18" spans="1:9" x14ac:dyDescent="0.3">
      <c r="A18" s="90" t="s">
        <v>110</v>
      </c>
      <c r="B18" s="148">
        <v>13</v>
      </c>
      <c r="C18" s="91">
        <f>71000+60000+10000</f>
        <v>141000</v>
      </c>
      <c r="D18" s="140">
        <f>45000+34680</f>
        <v>79680</v>
      </c>
      <c r="E18" s="140">
        <v>10000</v>
      </c>
      <c r="F18" s="140"/>
      <c r="G18" s="141">
        <v>20000</v>
      </c>
      <c r="H18" s="91">
        <f t="shared" si="0"/>
        <v>250680</v>
      </c>
      <c r="I18" s="149"/>
    </row>
    <row r="19" spans="1:9" x14ac:dyDescent="0.3">
      <c r="A19" s="47" t="s">
        <v>32</v>
      </c>
      <c r="B19" s="47">
        <v>13</v>
      </c>
      <c r="C19" s="91">
        <f>101651.95+15000</f>
        <v>116651.95</v>
      </c>
      <c r="D19" s="140">
        <v>48000</v>
      </c>
      <c r="E19" s="140"/>
      <c r="F19" s="140">
        <v>120000</v>
      </c>
      <c r="G19" s="141">
        <v>80000</v>
      </c>
      <c r="H19" s="140">
        <f t="shared" si="0"/>
        <v>364651.95</v>
      </c>
    </row>
    <row r="20" spans="1:9" x14ac:dyDescent="0.3">
      <c r="A20" s="47" t="s">
        <v>33</v>
      </c>
      <c r="B20" s="47">
        <v>647</v>
      </c>
      <c r="C20" s="91">
        <f>5775219.2+289062+154198</f>
        <v>6218479.2000000002</v>
      </c>
      <c r="D20" s="140">
        <f>461464+10000-9993</f>
        <v>461471</v>
      </c>
      <c r="E20" s="140">
        <v>85000</v>
      </c>
      <c r="F20" s="140">
        <v>162000</v>
      </c>
      <c r="G20" s="64">
        <v>190000</v>
      </c>
      <c r="H20" s="140">
        <f t="shared" si="0"/>
        <v>7116950.2000000002</v>
      </c>
    </row>
    <row r="21" spans="1:9" ht="15" thickBot="1" x14ac:dyDescent="0.35">
      <c r="A21" s="143" t="s">
        <v>173</v>
      </c>
      <c r="B21" s="147">
        <f>SUM(B4:B20)</f>
        <v>985</v>
      </c>
      <c r="C21" s="144">
        <f t="shared" ref="C21:H21" si="1">SUM(C4:C20)</f>
        <v>9878292</v>
      </c>
      <c r="D21" s="144">
        <f t="shared" si="1"/>
        <v>1768680</v>
      </c>
      <c r="E21" s="144">
        <f t="shared" si="1"/>
        <v>405983</v>
      </c>
      <c r="F21" s="144">
        <f t="shared" si="1"/>
        <v>907200</v>
      </c>
      <c r="G21" s="144">
        <f t="shared" si="1"/>
        <v>4697012</v>
      </c>
      <c r="H21" s="144">
        <f t="shared" si="1"/>
        <v>17657167</v>
      </c>
    </row>
    <row r="22" spans="1:9" x14ac:dyDescent="0.3">
      <c r="C22" s="7"/>
      <c r="D22" s="7"/>
      <c r="E22" s="7"/>
      <c r="F22" s="7"/>
    </row>
    <row r="23" spans="1:9" x14ac:dyDescent="0.3">
      <c r="D23" s="7"/>
    </row>
  </sheetData>
  <mergeCells count="2">
    <mergeCell ref="A2:A3"/>
    <mergeCell ref="C2:G2"/>
  </mergeCells>
  <pageMargins left="0.7" right="0.7" top="0.75" bottom="0.75" header="0.3" footer="0.3"/>
  <pageSetup paperSize="9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E066E-3EFD-4741-998B-E80BBE951384}">
  <dimension ref="A1:E66"/>
  <sheetViews>
    <sheetView zoomScale="107" zoomScaleNormal="107" workbookViewId="0">
      <selection activeCell="B1" sqref="B1"/>
    </sheetView>
  </sheetViews>
  <sheetFormatPr defaultRowHeight="14.4" x14ac:dyDescent="0.3"/>
  <cols>
    <col min="1" max="1" width="3.5546875" customWidth="1"/>
    <col min="2" max="2" width="39.6640625" customWidth="1"/>
    <col min="3" max="3" width="13.109375" customWidth="1"/>
    <col min="4" max="4" width="12.109375" customWidth="1"/>
    <col min="5" max="5" width="12.88671875" customWidth="1"/>
  </cols>
  <sheetData>
    <row r="1" spans="1:5" ht="15.6" x14ac:dyDescent="0.3">
      <c r="A1" s="150"/>
      <c r="B1" s="150" t="s">
        <v>46</v>
      </c>
      <c r="C1" s="49"/>
      <c r="D1" s="50"/>
      <c r="E1" s="50"/>
    </row>
    <row r="2" spans="1:5" ht="15.6" x14ac:dyDescent="0.3">
      <c r="A2" s="152"/>
      <c r="B2" s="152" t="s">
        <v>111</v>
      </c>
      <c r="C2" s="153" t="s">
        <v>36</v>
      </c>
      <c r="D2" s="154">
        <v>10</v>
      </c>
      <c r="E2" s="154">
        <v>21</v>
      </c>
    </row>
    <row r="3" spans="1:5" ht="77.400000000000006" customHeight="1" x14ac:dyDescent="0.3">
      <c r="A3" s="107">
        <v>1</v>
      </c>
      <c r="B3" s="59" t="s">
        <v>125</v>
      </c>
      <c r="C3" s="51">
        <f>D3+E3</f>
        <v>372968</v>
      </c>
      <c r="D3" s="52">
        <v>247968</v>
      </c>
      <c r="E3" s="53">
        <v>125000</v>
      </c>
    </row>
    <row r="4" spans="1:5" s="86" customFormat="1" ht="40.200000000000003" x14ac:dyDescent="0.3">
      <c r="A4" s="107">
        <v>2</v>
      </c>
      <c r="B4" s="87" t="s">
        <v>136</v>
      </c>
      <c r="C4" s="51">
        <f t="shared" ref="C4:C31" si="0">D4+E4</f>
        <v>60000</v>
      </c>
      <c r="D4" s="52">
        <v>30000</v>
      </c>
      <c r="E4" s="53">
        <v>30000</v>
      </c>
    </row>
    <row r="5" spans="1:5" s="86" customFormat="1" x14ac:dyDescent="0.3">
      <c r="A5" s="107">
        <v>3</v>
      </c>
      <c r="B5" s="87" t="s">
        <v>37</v>
      </c>
      <c r="C5" s="51">
        <f t="shared" si="0"/>
        <v>483653</v>
      </c>
      <c r="D5" s="52">
        <v>403632</v>
      </c>
      <c r="E5" s="53">
        <v>80021</v>
      </c>
    </row>
    <row r="6" spans="1:5" s="86" customFormat="1" ht="43.95" customHeight="1" x14ac:dyDescent="0.3">
      <c r="A6" s="107">
        <v>4</v>
      </c>
      <c r="B6" s="87" t="s">
        <v>95</v>
      </c>
      <c r="C6" s="51">
        <f t="shared" si="0"/>
        <v>40000</v>
      </c>
      <c r="D6" s="52">
        <v>20000</v>
      </c>
      <c r="E6" s="53">
        <v>20000</v>
      </c>
    </row>
    <row r="7" spans="1:5" s="86" customFormat="1" ht="57.6" customHeight="1" x14ac:dyDescent="0.3">
      <c r="A7" s="107">
        <v>5</v>
      </c>
      <c r="B7" s="87" t="s">
        <v>148</v>
      </c>
      <c r="C7" s="51">
        <f t="shared" si="0"/>
        <v>570000</v>
      </c>
      <c r="D7" s="52">
        <v>400000</v>
      </c>
      <c r="E7" s="53">
        <v>170000</v>
      </c>
    </row>
    <row r="8" spans="1:5" s="86" customFormat="1" ht="27" x14ac:dyDescent="0.3">
      <c r="A8" s="107">
        <v>6</v>
      </c>
      <c r="B8" s="87" t="s">
        <v>126</v>
      </c>
      <c r="C8" s="51">
        <f t="shared" si="0"/>
        <v>35000</v>
      </c>
      <c r="D8" s="52">
        <v>20000</v>
      </c>
      <c r="E8" s="53">
        <v>15000</v>
      </c>
    </row>
    <row r="9" spans="1:5" s="86" customFormat="1" ht="42" customHeight="1" x14ac:dyDescent="0.3">
      <c r="A9" s="107">
        <v>7</v>
      </c>
      <c r="B9" s="87" t="s">
        <v>137</v>
      </c>
      <c r="C9" s="51">
        <f t="shared" si="0"/>
        <v>120000</v>
      </c>
      <c r="D9" s="52">
        <v>120000</v>
      </c>
      <c r="E9" s="53">
        <v>0</v>
      </c>
    </row>
    <row r="10" spans="1:5" s="86" customFormat="1" ht="53.4" x14ac:dyDescent="0.3">
      <c r="A10" s="107">
        <v>8</v>
      </c>
      <c r="B10" s="87" t="s">
        <v>127</v>
      </c>
      <c r="C10" s="51">
        <f t="shared" si="0"/>
        <v>125000</v>
      </c>
      <c r="D10" s="52">
        <v>85000</v>
      </c>
      <c r="E10" s="53">
        <v>40000</v>
      </c>
    </row>
    <row r="11" spans="1:5" s="86" customFormat="1" ht="27" x14ac:dyDescent="0.3">
      <c r="A11" s="107">
        <v>9</v>
      </c>
      <c r="B11" s="87" t="s">
        <v>128</v>
      </c>
      <c r="C11" s="51">
        <f t="shared" si="0"/>
        <v>170000</v>
      </c>
      <c r="D11" s="52">
        <v>150000</v>
      </c>
      <c r="E11" s="53">
        <v>20000</v>
      </c>
    </row>
    <row r="12" spans="1:5" s="86" customFormat="1" ht="27" x14ac:dyDescent="0.3">
      <c r="A12" s="107">
        <v>10</v>
      </c>
      <c r="B12" s="87" t="s">
        <v>138</v>
      </c>
      <c r="C12" s="51">
        <f t="shared" si="0"/>
        <v>40000</v>
      </c>
      <c r="D12" s="52">
        <v>20000</v>
      </c>
      <c r="E12" s="53">
        <v>20000</v>
      </c>
    </row>
    <row r="13" spans="1:5" s="86" customFormat="1" ht="40.200000000000003" x14ac:dyDescent="0.3">
      <c r="A13" s="107">
        <v>11</v>
      </c>
      <c r="B13" s="87" t="s">
        <v>129</v>
      </c>
      <c r="C13" s="51">
        <f t="shared" si="0"/>
        <v>180000</v>
      </c>
      <c r="D13" s="52">
        <v>150000</v>
      </c>
      <c r="E13" s="53">
        <v>30000</v>
      </c>
    </row>
    <row r="14" spans="1:5" s="86" customFormat="1" ht="27" x14ac:dyDescent="0.3">
      <c r="A14" s="107">
        <v>12</v>
      </c>
      <c r="B14" s="87" t="s">
        <v>159</v>
      </c>
      <c r="C14" s="51">
        <f t="shared" si="0"/>
        <v>20000</v>
      </c>
      <c r="D14" s="52">
        <v>0</v>
      </c>
      <c r="E14" s="53">
        <v>20000</v>
      </c>
    </row>
    <row r="15" spans="1:5" s="86" customFormat="1" ht="27" x14ac:dyDescent="0.3">
      <c r="A15" s="107">
        <v>13</v>
      </c>
      <c r="B15" s="87" t="s">
        <v>140</v>
      </c>
      <c r="C15" s="51">
        <f t="shared" si="0"/>
        <v>25000</v>
      </c>
      <c r="D15" s="52">
        <v>25000</v>
      </c>
      <c r="E15" s="53">
        <v>0</v>
      </c>
    </row>
    <row r="16" spans="1:5" s="86" customFormat="1" ht="27" x14ac:dyDescent="0.3">
      <c r="A16" s="107">
        <v>14</v>
      </c>
      <c r="B16" s="113" t="s">
        <v>141</v>
      </c>
      <c r="C16" s="51">
        <f t="shared" si="0"/>
        <v>35000</v>
      </c>
      <c r="D16" s="52">
        <v>15000</v>
      </c>
      <c r="E16" s="53">
        <v>20000</v>
      </c>
    </row>
    <row r="17" spans="1:5" s="86" customFormat="1" ht="27" x14ac:dyDescent="0.3">
      <c r="A17" s="107">
        <v>15</v>
      </c>
      <c r="B17" s="87" t="s">
        <v>130</v>
      </c>
      <c r="C17" s="51">
        <f t="shared" si="0"/>
        <v>30000</v>
      </c>
      <c r="D17" s="52">
        <v>10000</v>
      </c>
      <c r="E17" s="53">
        <v>20000</v>
      </c>
    </row>
    <row r="18" spans="1:5" s="86" customFormat="1" ht="27.6" customHeight="1" x14ac:dyDescent="0.3">
      <c r="A18" s="107">
        <v>16</v>
      </c>
      <c r="B18" s="113" t="s">
        <v>142</v>
      </c>
      <c r="C18" s="51">
        <f t="shared" si="0"/>
        <v>90000</v>
      </c>
      <c r="D18" s="52">
        <v>55000</v>
      </c>
      <c r="E18" s="53">
        <v>35000</v>
      </c>
    </row>
    <row r="19" spans="1:5" s="86" customFormat="1" ht="27" x14ac:dyDescent="0.3">
      <c r="A19" s="107">
        <v>17</v>
      </c>
      <c r="B19" s="114" t="s">
        <v>143</v>
      </c>
      <c r="C19" s="51">
        <f t="shared" si="0"/>
        <v>40000</v>
      </c>
      <c r="D19" s="52">
        <v>40000</v>
      </c>
      <c r="E19" s="53">
        <v>0</v>
      </c>
    </row>
    <row r="20" spans="1:5" s="86" customFormat="1" ht="27" x14ac:dyDescent="0.3">
      <c r="A20" s="107">
        <v>18</v>
      </c>
      <c r="B20" s="114" t="s">
        <v>144</v>
      </c>
      <c r="C20" s="51">
        <f t="shared" si="0"/>
        <v>100000</v>
      </c>
      <c r="D20" s="52">
        <v>100000</v>
      </c>
      <c r="E20" s="53">
        <v>0</v>
      </c>
    </row>
    <row r="21" spans="1:5" s="86" customFormat="1" ht="40.200000000000003" x14ac:dyDescent="0.3">
      <c r="A21" s="107">
        <v>19</v>
      </c>
      <c r="B21" s="87" t="s">
        <v>131</v>
      </c>
      <c r="C21" s="51">
        <f t="shared" si="0"/>
        <v>75000</v>
      </c>
      <c r="D21" s="52">
        <v>55000</v>
      </c>
      <c r="E21" s="53">
        <v>20000</v>
      </c>
    </row>
    <row r="22" spans="1:5" s="86" customFormat="1" ht="55.2" customHeight="1" x14ac:dyDescent="0.3">
      <c r="A22" s="107">
        <v>20</v>
      </c>
      <c r="B22" s="87" t="s">
        <v>161</v>
      </c>
      <c r="C22" s="51">
        <f t="shared" si="0"/>
        <v>80000</v>
      </c>
      <c r="D22" s="52">
        <v>60000</v>
      </c>
      <c r="E22" s="53">
        <v>20000</v>
      </c>
    </row>
    <row r="23" spans="1:5" s="86" customFormat="1" ht="27" x14ac:dyDescent="0.3">
      <c r="A23" s="107">
        <v>21</v>
      </c>
      <c r="B23" s="87" t="s">
        <v>96</v>
      </c>
      <c r="C23" s="51">
        <f t="shared" si="0"/>
        <v>30000</v>
      </c>
      <c r="D23" s="52">
        <v>20000</v>
      </c>
      <c r="E23" s="53">
        <v>10000</v>
      </c>
    </row>
    <row r="24" spans="1:5" s="86" customFormat="1" ht="27" x14ac:dyDescent="0.3">
      <c r="A24" s="107">
        <v>22</v>
      </c>
      <c r="B24" s="87" t="s">
        <v>145</v>
      </c>
      <c r="C24" s="51">
        <f t="shared" si="0"/>
        <v>140000</v>
      </c>
      <c r="D24" s="52">
        <v>120000</v>
      </c>
      <c r="E24" s="53">
        <v>20000</v>
      </c>
    </row>
    <row r="25" spans="1:5" s="86" customFormat="1" ht="40.200000000000003" x14ac:dyDescent="0.3">
      <c r="A25" s="107">
        <v>23</v>
      </c>
      <c r="B25" s="113" t="s">
        <v>163</v>
      </c>
      <c r="C25" s="51">
        <f t="shared" si="0"/>
        <v>35000</v>
      </c>
      <c r="D25" s="52">
        <v>20000</v>
      </c>
      <c r="E25" s="53">
        <v>15000</v>
      </c>
    </row>
    <row r="26" spans="1:5" s="86" customFormat="1" ht="27" x14ac:dyDescent="0.3">
      <c r="A26" s="107">
        <v>24</v>
      </c>
      <c r="B26" s="87" t="s">
        <v>139</v>
      </c>
      <c r="C26" s="51">
        <f t="shared" si="0"/>
        <v>35000</v>
      </c>
      <c r="D26" s="52">
        <v>25000</v>
      </c>
      <c r="E26" s="53">
        <v>10000</v>
      </c>
    </row>
    <row r="27" spans="1:5" s="86" customFormat="1" ht="27" x14ac:dyDescent="0.3">
      <c r="A27" s="107">
        <v>25</v>
      </c>
      <c r="B27" s="113" t="s">
        <v>146</v>
      </c>
      <c r="C27" s="51">
        <f t="shared" si="0"/>
        <v>40000</v>
      </c>
      <c r="D27" s="52">
        <v>30000</v>
      </c>
      <c r="E27" s="53">
        <v>10000</v>
      </c>
    </row>
    <row r="28" spans="1:5" s="86" customFormat="1" ht="27" x14ac:dyDescent="0.3">
      <c r="A28" s="107">
        <v>27</v>
      </c>
      <c r="B28" s="113" t="s">
        <v>157</v>
      </c>
      <c r="C28" s="51">
        <f t="shared" si="0"/>
        <v>0</v>
      </c>
      <c r="D28" s="52">
        <v>0</v>
      </c>
      <c r="E28" s="53">
        <v>0</v>
      </c>
    </row>
    <row r="29" spans="1:5" s="86" customFormat="1" ht="40.200000000000003" x14ac:dyDescent="0.3">
      <c r="A29" s="107">
        <v>28</v>
      </c>
      <c r="B29" s="113" t="s">
        <v>158</v>
      </c>
      <c r="C29" s="51">
        <f t="shared" si="0"/>
        <v>0</v>
      </c>
      <c r="D29" s="52">
        <v>0</v>
      </c>
      <c r="E29" s="53">
        <v>0</v>
      </c>
    </row>
    <row r="30" spans="1:5" s="86" customFormat="1" ht="27" x14ac:dyDescent="0.3">
      <c r="A30" s="107">
        <v>29</v>
      </c>
      <c r="B30" s="87" t="s">
        <v>182</v>
      </c>
      <c r="C30" s="51">
        <f t="shared" si="0"/>
        <v>0</v>
      </c>
      <c r="D30" s="53"/>
      <c r="E30" s="53">
        <v>0</v>
      </c>
    </row>
    <row r="31" spans="1:5" s="86" customFormat="1" ht="27" x14ac:dyDescent="0.3">
      <c r="A31" s="107">
        <v>30</v>
      </c>
      <c r="B31" s="87" t="s">
        <v>47</v>
      </c>
      <c r="C31" s="51">
        <f t="shared" si="0"/>
        <v>0</v>
      </c>
      <c r="D31" s="53"/>
      <c r="E31" s="53">
        <v>0</v>
      </c>
    </row>
    <row r="32" spans="1:5" s="86" customFormat="1" x14ac:dyDescent="0.3">
      <c r="A32" s="108"/>
      <c r="B32" s="109" t="s">
        <v>39</v>
      </c>
      <c r="C32" s="56">
        <f>SUM(C3:C31)</f>
        <v>2971621</v>
      </c>
      <c r="D32" s="56">
        <f t="shared" ref="D32:E32" si="1">SUM(D3:D31)</f>
        <v>2221600</v>
      </c>
      <c r="E32" s="56">
        <f t="shared" si="1"/>
        <v>750021</v>
      </c>
    </row>
    <row r="33" spans="1:5" ht="27" x14ac:dyDescent="0.3">
      <c r="A33" s="107">
        <v>31</v>
      </c>
      <c r="B33" s="59" t="s">
        <v>132</v>
      </c>
      <c r="C33" s="51">
        <f t="shared" ref="C33:C34" si="2">D33+E33</f>
        <v>60000</v>
      </c>
      <c r="D33" s="52">
        <v>40000</v>
      </c>
      <c r="E33" s="53">
        <v>20000</v>
      </c>
    </row>
    <row r="34" spans="1:5" ht="53.4" x14ac:dyDescent="0.3">
      <c r="A34" s="107">
        <v>32</v>
      </c>
      <c r="B34" s="59" t="s">
        <v>133</v>
      </c>
      <c r="C34" s="51">
        <f t="shared" si="2"/>
        <v>210000</v>
      </c>
      <c r="D34" s="52">
        <v>160000</v>
      </c>
      <c r="E34" s="53">
        <v>50000</v>
      </c>
    </row>
    <row r="35" spans="1:5" ht="29.4" customHeight="1" x14ac:dyDescent="0.3">
      <c r="A35" s="107">
        <v>33</v>
      </c>
      <c r="B35" s="59" t="s">
        <v>98</v>
      </c>
      <c r="C35" s="51">
        <f>D35+E35</f>
        <v>160000</v>
      </c>
      <c r="D35" s="52">
        <v>130000</v>
      </c>
      <c r="E35" s="53">
        <v>30000</v>
      </c>
    </row>
    <row r="36" spans="1:5" ht="27" x14ac:dyDescent="0.3">
      <c r="A36" s="107">
        <v>36</v>
      </c>
      <c r="B36" s="59" t="s">
        <v>134</v>
      </c>
      <c r="C36" s="51">
        <f t="shared" ref="C36:C37" si="3">D36+E36</f>
        <v>100000</v>
      </c>
      <c r="D36" s="52"/>
      <c r="E36" s="53">
        <v>100000</v>
      </c>
    </row>
    <row r="37" spans="1:5" ht="40.200000000000003" x14ac:dyDescent="0.3">
      <c r="A37" s="107">
        <v>38</v>
      </c>
      <c r="B37" s="59" t="s">
        <v>135</v>
      </c>
      <c r="C37" s="51">
        <f t="shared" si="3"/>
        <v>123000</v>
      </c>
      <c r="D37" s="57">
        <v>93000</v>
      </c>
      <c r="E37" s="58">
        <v>30000</v>
      </c>
    </row>
    <row r="38" spans="1:5" x14ac:dyDescent="0.3">
      <c r="A38" s="108"/>
      <c r="B38" s="109" t="s">
        <v>48</v>
      </c>
      <c r="C38" s="56">
        <f>SUM(C33:C37)</f>
        <v>653000</v>
      </c>
      <c r="D38" s="56">
        <f>SUM(D33:D37)</f>
        <v>423000</v>
      </c>
      <c r="E38" s="56">
        <f>SUM(E33:E37)</f>
        <v>230000</v>
      </c>
    </row>
    <row r="39" spans="1:5" ht="43.95" customHeight="1" x14ac:dyDescent="0.3">
      <c r="A39" s="107">
        <v>39</v>
      </c>
      <c r="B39" s="112" t="s">
        <v>147</v>
      </c>
      <c r="C39" s="51">
        <f>D39+E39</f>
        <v>30000</v>
      </c>
      <c r="D39" s="57">
        <v>30000</v>
      </c>
      <c r="E39" s="58">
        <v>0</v>
      </c>
    </row>
    <row r="40" spans="1:5" ht="65.400000000000006" customHeight="1" x14ac:dyDescent="0.3">
      <c r="A40" s="107">
        <v>40</v>
      </c>
      <c r="B40" s="115" t="s">
        <v>160</v>
      </c>
      <c r="C40" s="51">
        <f>D40+E40</f>
        <v>120000</v>
      </c>
      <c r="D40" s="57">
        <v>50000</v>
      </c>
      <c r="E40" s="58">
        <v>70000</v>
      </c>
    </row>
    <row r="41" spans="1:5" ht="39.6" x14ac:dyDescent="0.3">
      <c r="A41" s="107">
        <v>41</v>
      </c>
      <c r="B41" s="115" t="s">
        <v>149</v>
      </c>
      <c r="C41" s="51">
        <f>D41+E41</f>
        <v>30000</v>
      </c>
      <c r="D41" s="57">
        <v>20000</v>
      </c>
      <c r="E41" s="58">
        <v>10000</v>
      </c>
    </row>
    <row r="42" spans="1:5" ht="39.6" x14ac:dyDescent="0.3">
      <c r="A42" s="107">
        <v>42</v>
      </c>
      <c r="B42" s="115" t="s">
        <v>150</v>
      </c>
      <c r="C42" s="51">
        <f>D42+E42</f>
        <v>30000</v>
      </c>
      <c r="D42" s="57">
        <v>20000</v>
      </c>
      <c r="E42" s="58">
        <v>10000</v>
      </c>
    </row>
    <row r="43" spans="1:5" x14ac:dyDescent="0.3">
      <c r="A43" s="108"/>
      <c r="B43" s="109" t="s">
        <v>44</v>
      </c>
      <c r="C43" s="56">
        <f>SUM(C39:C42)</f>
        <v>210000</v>
      </c>
      <c r="D43" s="60">
        <f>SUM(D39:D42)</f>
        <v>120000</v>
      </c>
      <c r="E43" s="60">
        <f>SUM(E39:E42)</f>
        <v>90000</v>
      </c>
    </row>
    <row r="44" spans="1:5" x14ac:dyDescent="0.3">
      <c r="A44" s="107">
        <v>43</v>
      </c>
      <c r="B44" s="156" t="s">
        <v>180</v>
      </c>
      <c r="C44" s="51">
        <f t="shared" ref="C44:C45" si="4">D44+E44</f>
        <v>40000</v>
      </c>
      <c r="D44" s="57">
        <v>40000</v>
      </c>
      <c r="E44" s="58">
        <v>0</v>
      </c>
    </row>
    <row r="45" spans="1:5" ht="41.4" x14ac:dyDescent="0.3">
      <c r="A45" s="107">
        <v>44</v>
      </c>
      <c r="B45" s="157" t="s">
        <v>181</v>
      </c>
      <c r="C45" s="51">
        <f t="shared" si="4"/>
        <v>30000</v>
      </c>
      <c r="D45" s="57">
        <v>20000</v>
      </c>
      <c r="E45" s="58">
        <v>10000</v>
      </c>
    </row>
    <row r="46" spans="1:5" x14ac:dyDescent="0.3">
      <c r="A46" s="108"/>
      <c r="B46" s="109" t="s">
        <v>41</v>
      </c>
      <c r="C46" s="56">
        <f>SUM(C44:C45)</f>
        <v>70000</v>
      </c>
      <c r="D46" s="60">
        <f>SUM(D44:D45)</f>
        <v>60000</v>
      </c>
      <c r="E46" s="56">
        <f>SUM(E44:E45)</f>
        <v>10000</v>
      </c>
    </row>
    <row r="47" spans="1:5" x14ac:dyDescent="0.3">
      <c r="A47" s="107">
        <v>45</v>
      </c>
      <c r="B47" s="116" t="s">
        <v>156</v>
      </c>
      <c r="C47" s="51">
        <f>D47+E47</f>
        <v>260000</v>
      </c>
      <c r="D47" s="57">
        <v>210000</v>
      </c>
      <c r="E47" s="58">
        <v>50000</v>
      </c>
    </row>
    <row r="48" spans="1:5" x14ac:dyDescent="0.3">
      <c r="A48" s="108"/>
      <c r="B48" s="117" t="s">
        <v>155</v>
      </c>
      <c r="C48" s="56">
        <f>SUM(C47)</f>
        <v>260000</v>
      </c>
      <c r="D48" s="56">
        <f t="shared" ref="D48:E48" si="5">SUM(D47)</f>
        <v>210000</v>
      </c>
      <c r="E48" s="56">
        <f t="shared" si="5"/>
        <v>50000</v>
      </c>
    </row>
    <row r="49" spans="1:5" x14ac:dyDescent="0.3">
      <c r="A49" s="107">
        <v>46</v>
      </c>
      <c r="B49" s="116" t="s">
        <v>151</v>
      </c>
      <c r="C49" s="51">
        <f>D49+E49</f>
        <v>40000</v>
      </c>
      <c r="D49" s="57">
        <v>40000</v>
      </c>
      <c r="E49" s="58">
        <v>0</v>
      </c>
    </row>
    <row r="50" spans="1:5" ht="33" customHeight="1" x14ac:dyDescent="0.3">
      <c r="A50" s="107">
        <v>47</v>
      </c>
      <c r="B50" s="112" t="s">
        <v>153</v>
      </c>
      <c r="C50" s="51">
        <v>0</v>
      </c>
      <c r="D50" s="57"/>
      <c r="E50" s="58"/>
    </row>
    <row r="51" spans="1:5" x14ac:dyDescent="0.3">
      <c r="A51" s="108"/>
      <c r="B51" s="109" t="s">
        <v>42</v>
      </c>
      <c r="C51" s="56">
        <f>SUM(C49:C50)</f>
        <v>40000</v>
      </c>
      <c r="D51" s="60">
        <f>SUM(D49:D50)</f>
        <v>40000</v>
      </c>
      <c r="E51" s="61">
        <f>SUM(E49:E50)</f>
        <v>0</v>
      </c>
    </row>
    <row r="52" spans="1:5" ht="27" x14ac:dyDescent="0.3">
      <c r="A52" s="107">
        <v>48</v>
      </c>
      <c r="B52" s="112" t="s">
        <v>152</v>
      </c>
      <c r="C52" s="51">
        <f>D52+E52</f>
        <v>50000</v>
      </c>
      <c r="D52" s="57">
        <v>0</v>
      </c>
      <c r="E52" s="58">
        <v>50000</v>
      </c>
    </row>
    <row r="53" spans="1:5" x14ac:dyDescent="0.3">
      <c r="A53" s="108"/>
      <c r="B53" s="109" t="s">
        <v>43</v>
      </c>
      <c r="C53" s="56">
        <f>SUM(C52:C52)</f>
        <v>50000</v>
      </c>
      <c r="D53" s="60">
        <f>SUM(D52:D52)</f>
        <v>0</v>
      </c>
      <c r="E53" s="56">
        <f>SUM(E52:E52)</f>
        <v>50000</v>
      </c>
    </row>
    <row r="54" spans="1:5" x14ac:dyDescent="0.3">
      <c r="A54" s="110">
        <v>49</v>
      </c>
      <c r="B54" s="111" t="s">
        <v>154</v>
      </c>
      <c r="C54" s="51">
        <f>D54+E54</f>
        <v>12000</v>
      </c>
      <c r="D54" s="89"/>
      <c r="E54" s="58">
        <v>12000</v>
      </c>
    </row>
    <row r="55" spans="1:5" x14ac:dyDescent="0.3">
      <c r="A55" s="108"/>
      <c r="B55" s="109" t="s">
        <v>97</v>
      </c>
      <c r="C55" s="56">
        <f>C54</f>
        <v>12000</v>
      </c>
      <c r="D55" s="56">
        <f t="shared" ref="D55:E55" si="6">D54</f>
        <v>0</v>
      </c>
      <c r="E55" s="56">
        <f t="shared" si="6"/>
        <v>12000</v>
      </c>
    </row>
    <row r="56" spans="1:5" ht="27" x14ac:dyDescent="0.3">
      <c r="A56" s="107">
        <v>50</v>
      </c>
      <c r="B56" s="87" t="s">
        <v>162</v>
      </c>
      <c r="C56" s="51">
        <f>D56+E56</f>
        <v>140000</v>
      </c>
      <c r="D56" s="57">
        <v>70000</v>
      </c>
      <c r="E56" s="58">
        <v>70000</v>
      </c>
    </row>
    <row r="57" spans="1:5" x14ac:dyDescent="0.3">
      <c r="A57" s="54"/>
      <c r="B57" s="55" t="s">
        <v>40</v>
      </c>
      <c r="C57" s="56">
        <f>SUM(C56:C56)</f>
        <v>140000</v>
      </c>
      <c r="D57" s="60">
        <f>SUM(D56:D56)</f>
        <v>70000</v>
      </c>
      <c r="E57" s="56">
        <f>SUM(E56:E56)</f>
        <v>70000</v>
      </c>
    </row>
    <row r="58" spans="1:5" x14ac:dyDescent="0.3">
      <c r="A58" s="62"/>
      <c r="B58" s="63" t="s">
        <v>45</v>
      </c>
      <c r="C58" s="64">
        <f>C32+C38+C43+C46+C48+C51+C53+C55+C57</f>
        <v>4406621</v>
      </c>
      <c r="D58" s="64">
        <f t="shared" ref="D58:E58" si="7">D32+D38+D43+D46+D48+D51+D53+D55+D57</f>
        <v>3144600</v>
      </c>
      <c r="E58" s="64">
        <f t="shared" si="7"/>
        <v>1262021</v>
      </c>
    </row>
    <row r="59" spans="1:5" x14ac:dyDescent="0.3">
      <c r="A59" s="120"/>
      <c r="B59" s="120"/>
      <c r="C59" s="120"/>
      <c r="D59" s="120"/>
      <c r="E59" s="120"/>
    </row>
    <row r="60" spans="1:5" x14ac:dyDescent="0.3">
      <c r="A60" s="120"/>
      <c r="B60" s="120"/>
      <c r="C60" s="120"/>
      <c r="D60" s="120"/>
      <c r="E60" s="127"/>
    </row>
    <row r="61" spans="1:5" x14ac:dyDescent="0.3">
      <c r="A61" s="120"/>
      <c r="B61" s="120"/>
      <c r="C61" s="120"/>
      <c r="D61" s="120"/>
      <c r="E61" s="120"/>
    </row>
    <row r="62" spans="1:5" x14ac:dyDescent="0.3">
      <c r="A62" s="120"/>
      <c r="B62" s="120"/>
      <c r="C62" s="120"/>
      <c r="D62" s="120"/>
      <c r="E62" s="120"/>
    </row>
    <row r="63" spans="1:5" x14ac:dyDescent="0.3">
      <c r="A63" s="120"/>
      <c r="B63" s="120"/>
      <c r="C63" s="120"/>
      <c r="D63" s="120"/>
      <c r="E63" s="120"/>
    </row>
    <row r="64" spans="1:5" x14ac:dyDescent="0.3">
      <c r="A64" s="120"/>
      <c r="B64" s="120"/>
      <c r="C64" s="120"/>
      <c r="D64" s="120"/>
      <c r="E64" s="120"/>
    </row>
    <row r="65" spans="1:5" x14ac:dyDescent="0.3">
      <c r="A65" s="120"/>
      <c r="B65" s="120"/>
      <c r="C65" s="120"/>
      <c r="D65" s="120"/>
      <c r="E65" s="120"/>
    </row>
    <row r="66" spans="1:5" x14ac:dyDescent="0.3">
      <c r="A66" s="120"/>
      <c r="B66" s="120"/>
      <c r="C66" s="120"/>
      <c r="D66" s="120"/>
      <c r="E66" s="120"/>
    </row>
  </sheetData>
  <pageMargins left="0" right="0" top="0.15748031496062992" bottom="0" header="0.31496062992125984" footer="0.31496062992125984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CD372-FDF0-4908-8883-2E1181151243}">
  <dimension ref="A1:I66"/>
  <sheetViews>
    <sheetView zoomScale="107" zoomScaleNormal="107" workbookViewId="0">
      <selection activeCell="B1" sqref="B1"/>
    </sheetView>
  </sheetViews>
  <sheetFormatPr defaultRowHeight="14.4" x14ac:dyDescent="0.3"/>
  <cols>
    <col min="1" max="1" width="4.5546875" customWidth="1"/>
    <col min="2" max="2" width="40.6640625" customWidth="1"/>
    <col min="3" max="3" width="14.33203125" customWidth="1"/>
    <col min="4" max="4" width="12.33203125" customWidth="1"/>
    <col min="5" max="5" width="13.109375" customWidth="1"/>
    <col min="6" max="6" width="10.6640625" customWidth="1"/>
    <col min="9" max="9" width="13.109375" bestFit="1" customWidth="1"/>
  </cols>
  <sheetData>
    <row r="1" spans="1:9" ht="15.6" x14ac:dyDescent="0.3">
      <c r="A1" s="150"/>
      <c r="B1" s="150" t="s">
        <v>49</v>
      </c>
      <c r="C1" s="151"/>
      <c r="D1" s="49"/>
      <c r="E1" s="50"/>
      <c r="F1" s="50"/>
    </row>
    <row r="2" spans="1:9" ht="15.6" x14ac:dyDescent="0.3">
      <c r="A2" s="123"/>
      <c r="B2" s="124" t="s">
        <v>111</v>
      </c>
      <c r="C2" s="125" t="s">
        <v>36</v>
      </c>
      <c r="D2" s="126">
        <v>10</v>
      </c>
      <c r="E2" s="126">
        <v>21</v>
      </c>
      <c r="F2" s="126"/>
    </row>
    <row r="3" spans="1:9" ht="57" customHeight="1" x14ac:dyDescent="0.3">
      <c r="A3" s="107">
        <v>1</v>
      </c>
      <c r="B3" s="59" t="s">
        <v>125</v>
      </c>
      <c r="C3" s="51">
        <f>D3+E3</f>
        <v>100000</v>
      </c>
      <c r="D3" s="52">
        <v>60000</v>
      </c>
      <c r="E3" s="53">
        <v>40000</v>
      </c>
    </row>
    <row r="4" spans="1:9" s="86" customFormat="1" ht="40.200000000000003" x14ac:dyDescent="0.3">
      <c r="A4" s="107">
        <v>2</v>
      </c>
      <c r="B4" s="87" t="s">
        <v>136</v>
      </c>
      <c r="C4" s="51">
        <f t="shared" ref="C4:C31" si="0">D4+E4</f>
        <v>60000</v>
      </c>
      <c r="D4" s="52">
        <v>0</v>
      </c>
      <c r="E4" s="53">
        <v>60000</v>
      </c>
      <c r="I4" s="171"/>
    </row>
    <row r="5" spans="1:9" s="86" customFormat="1" x14ac:dyDescent="0.3">
      <c r="A5" s="107">
        <v>3</v>
      </c>
      <c r="B5" s="85" t="s">
        <v>37</v>
      </c>
      <c r="C5" s="51">
        <f t="shared" si="0"/>
        <v>1108056</v>
      </c>
      <c r="D5" s="52">
        <v>701035</v>
      </c>
      <c r="E5" s="53">
        <v>407021</v>
      </c>
      <c r="I5" s="171"/>
    </row>
    <row r="6" spans="1:9" s="86" customFormat="1" ht="35.4" customHeight="1" x14ac:dyDescent="0.3">
      <c r="A6" s="107">
        <v>4</v>
      </c>
      <c r="B6" s="87" t="s">
        <v>93</v>
      </c>
      <c r="C6" s="51">
        <f t="shared" si="0"/>
        <v>40000</v>
      </c>
      <c r="D6" s="52">
        <v>40000</v>
      </c>
      <c r="E6" s="53">
        <v>0</v>
      </c>
      <c r="I6" s="171"/>
    </row>
    <row r="7" spans="1:9" s="86" customFormat="1" ht="57.6" customHeight="1" x14ac:dyDescent="0.3">
      <c r="A7" s="107">
        <v>5</v>
      </c>
      <c r="B7" s="87" t="s">
        <v>148</v>
      </c>
      <c r="C7" s="51">
        <f t="shared" si="0"/>
        <v>288000</v>
      </c>
      <c r="D7" s="52">
        <v>188000</v>
      </c>
      <c r="E7" s="53">
        <v>100000</v>
      </c>
      <c r="I7" s="171"/>
    </row>
    <row r="8" spans="1:9" s="86" customFormat="1" ht="27" x14ac:dyDescent="0.3">
      <c r="A8" s="107">
        <v>6</v>
      </c>
      <c r="B8" s="87" t="s">
        <v>126</v>
      </c>
      <c r="C8" s="51">
        <f t="shared" si="0"/>
        <v>200000</v>
      </c>
      <c r="D8" s="52">
        <v>200000</v>
      </c>
      <c r="E8" s="53">
        <v>0</v>
      </c>
      <c r="I8" s="149"/>
    </row>
    <row r="9" spans="1:9" s="86" customFormat="1" ht="42" customHeight="1" x14ac:dyDescent="0.3">
      <c r="A9" s="107">
        <v>7</v>
      </c>
      <c r="B9" s="87" t="s">
        <v>137</v>
      </c>
      <c r="C9" s="51">
        <f t="shared" si="0"/>
        <v>80000</v>
      </c>
      <c r="D9" s="52">
        <v>80000</v>
      </c>
      <c r="E9" s="53">
        <v>0</v>
      </c>
    </row>
    <row r="10" spans="1:9" s="86" customFormat="1" ht="53.4" x14ac:dyDescent="0.3">
      <c r="A10" s="107">
        <v>8</v>
      </c>
      <c r="B10" s="87" t="s">
        <v>127</v>
      </c>
      <c r="C10" s="51">
        <f t="shared" si="0"/>
        <v>60000</v>
      </c>
      <c r="D10" s="52">
        <v>60000</v>
      </c>
      <c r="E10" s="53">
        <v>0</v>
      </c>
    </row>
    <row r="11" spans="1:9" s="86" customFormat="1" ht="27" x14ac:dyDescent="0.3">
      <c r="A11" s="107">
        <v>9</v>
      </c>
      <c r="B11" s="87" t="s">
        <v>128</v>
      </c>
      <c r="C11" s="51">
        <f t="shared" si="0"/>
        <v>90000</v>
      </c>
      <c r="D11" s="52">
        <v>90000</v>
      </c>
      <c r="E11" s="53">
        <v>0</v>
      </c>
    </row>
    <row r="12" spans="1:9" s="86" customFormat="1" ht="27" x14ac:dyDescent="0.3">
      <c r="A12" s="107">
        <v>10</v>
      </c>
      <c r="B12" s="87" t="s">
        <v>138</v>
      </c>
      <c r="C12" s="51">
        <f t="shared" si="0"/>
        <v>40000</v>
      </c>
      <c r="D12" s="52">
        <v>40000</v>
      </c>
      <c r="E12" s="53">
        <v>0</v>
      </c>
    </row>
    <row r="13" spans="1:9" s="86" customFormat="1" ht="40.200000000000003" x14ac:dyDescent="0.3">
      <c r="A13" s="107">
        <v>11</v>
      </c>
      <c r="B13" s="87" t="s">
        <v>129</v>
      </c>
      <c r="C13" s="51">
        <f t="shared" si="0"/>
        <v>80000</v>
      </c>
      <c r="D13" s="52">
        <v>80000</v>
      </c>
      <c r="E13" s="53">
        <v>0</v>
      </c>
    </row>
    <row r="14" spans="1:9" s="86" customFormat="1" ht="27" x14ac:dyDescent="0.3">
      <c r="A14" s="107">
        <v>12</v>
      </c>
      <c r="B14" s="87" t="s">
        <v>159</v>
      </c>
      <c r="C14" s="51">
        <f t="shared" si="0"/>
        <v>50000</v>
      </c>
      <c r="D14" s="52">
        <v>50000</v>
      </c>
      <c r="E14" s="53"/>
    </row>
    <row r="15" spans="1:9" s="86" customFormat="1" ht="27" x14ac:dyDescent="0.3">
      <c r="A15" s="107">
        <v>13</v>
      </c>
      <c r="B15" s="87" t="s">
        <v>140</v>
      </c>
      <c r="C15" s="51">
        <f t="shared" si="0"/>
        <v>30000</v>
      </c>
      <c r="D15" s="52">
        <v>30000</v>
      </c>
      <c r="E15" s="53"/>
    </row>
    <row r="16" spans="1:9" s="86" customFormat="1" ht="27" x14ac:dyDescent="0.3">
      <c r="A16" s="107">
        <v>14</v>
      </c>
      <c r="B16" s="113" t="s">
        <v>141</v>
      </c>
      <c r="C16" s="51">
        <f t="shared" si="0"/>
        <v>40000</v>
      </c>
      <c r="D16" s="52">
        <v>40000</v>
      </c>
      <c r="E16" s="53"/>
    </row>
    <row r="17" spans="1:5" s="86" customFormat="1" ht="27" x14ac:dyDescent="0.3">
      <c r="A17" s="107">
        <v>15</v>
      </c>
      <c r="B17" s="87" t="s">
        <v>130</v>
      </c>
      <c r="C17" s="51">
        <f t="shared" si="0"/>
        <v>0</v>
      </c>
      <c r="D17" s="52">
        <v>0</v>
      </c>
      <c r="E17" s="53">
        <v>0</v>
      </c>
    </row>
    <row r="18" spans="1:5" s="86" customFormat="1" ht="27.6" customHeight="1" x14ac:dyDescent="0.3">
      <c r="A18" s="107">
        <v>16</v>
      </c>
      <c r="B18" s="113" t="s">
        <v>142</v>
      </c>
      <c r="C18" s="51">
        <f t="shared" si="0"/>
        <v>100000</v>
      </c>
      <c r="D18" s="52">
        <v>50000</v>
      </c>
      <c r="E18" s="53">
        <v>50000</v>
      </c>
    </row>
    <row r="19" spans="1:5" s="86" customFormat="1" ht="27" x14ac:dyDescent="0.3">
      <c r="A19" s="107">
        <v>17</v>
      </c>
      <c r="B19" s="113" t="s">
        <v>143</v>
      </c>
      <c r="C19" s="51">
        <f t="shared" si="0"/>
        <v>50000</v>
      </c>
      <c r="D19" s="52">
        <v>50000</v>
      </c>
      <c r="E19" s="53">
        <v>0</v>
      </c>
    </row>
    <row r="20" spans="1:5" s="86" customFormat="1" ht="27" x14ac:dyDescent="0.3">
      <c r="A20" s="107">
        <v>18</v>
      </c>
      <c r="B20" s="113" t="s">
        <v>144</v>
      </c>
      <c r="C20" s="51">
        <f t="shared" si="0"/>
        <v>60000</v>
      </c>
      <c r="D20" s="52">
        <v>60000</v>
      </c>
      <c r="E20" s="53">
        <v>0</v>
      </c>
    </row>
    <row r="21" spans="1:5" s="86" customFormat="1" ht="40.200000000000003" x14ac:dyDescent="0.3">
      <c r="A21" s="107">
        <v>19</v>
      </c>
      <c r="B21" s="87" t="s">
        <v>131</v>
      </c>
      <c r="C21" s="51">
        <f t="shared" si="0"/>
        <v>0</v>
      </c>
      <c r="D21" s="52">
        <v>0</v>
      </c>
      <c r="E21" s="53">
        <v>0</v>
      </c>
    </row>
    <row r="22" spans="1:5" s="86" customFormat="1" ht="55.2" customHeight="1" x14ac:dyDescent="0.3">
      <c r="A22" s="107">
        <v>20</v>
      </c>
      <c r="B22" s="87" t="s">
        <v>161</v>
      </c>
      <c r="C22" s="51">
        <f t="shared" si="0"/>
        <v>290000</v>
      </c>
      <c r="D22" s="52">
        <v>170000</v>
      </c>
      <c r="E22" s="53">
        <v>120000</v>
      </c>
    </row>
    <row r="23" spans="1:5" s="86" customFormat="1" ht="27" x14ac:dyDescent="0.3">
      <c r="A23" s="107">
        <v>21</v>
      </c>
      <c r="B23" s="87" t="s">
        <v>96</v>
      </c>
      <c r="C23" s="51">
        <f t="shared" si="0"/>
        <v>40000</v>
      </c>
      <c r="D23" s="52">
        <v>40000</v>
      </c>
      <c r="E23" s="53">
        <v>0</v>
      </c>
    </row>
    <row r="24" spans="1:5" s="86" customFormat="1" ht="27" x14ac:dyDescent="0.3">
      <c r="A24" s="107">
        <v>22</v>
      </c>
      <c r="B24" s="87" t="s">
        <v>145</v>
      </c>
      <c r="C24" s="51">
        <f t="shared" si="0"/>
        <v>70000</v>
      </c>
      <c r="D24" s="52">
        <v>60000</v>
      </c>
      <c r="E24" s="53">
        <v>10000</v>
      </c>
    </row>
    <row r="25" spans="1:5" s="86" customFormat="1" ht="40.200000000000003" x14ac:dyDescent="0.3">
      <c r="A25" s="107">
        <v>23</v>
      </c>
      <c r="B25" s="113" t="s">
        <v>163</v>
      </c>
      <c r="C25" s="51">
        <f t="shared" si="0"/>
        <v>130000</v>
      </c>
      <c r="D25" s="52">
        <v>100000</v>
      </c>
      <c r="E25" s="53">
        <v>30000</v>
      </c>
    </row>
    <row r="26" spans="1:5" s="86" customFormat="1" ht="27" x14ac:dyDescent="0.3">
      <c r="A26" s="107">
        <v>24</v>
      </c>
      <c r="B26" s="87" t="s">
        <v>139</v>
      </c>
      <c r="C26" s="51">
        <f t="shared" si="0"/>
        <v>50000</v>
      </c>
      <c r="D26" s="52">
        <v>30000</v>
      </c>
      <c r="E26" s="53">
        <v>20000</v>
      </c>
    </row>
    <row r="27" spans="1:5" s="86" customFormat="1" ht="27" x14ac:dyDescent="0.3">
      <c r="A27" s="107">
        <v>25</v>
      </c>
      <c r="B27" s="113" t="s">
        <v>146</v>
      </c>
      <c r="C27" s="51">
        <f t="shared" si="0"/>
        <v>0</v>
      </c>
      <c r="D27" s="52">
        <v>0</v>
      </c>
      <c r="E27" s="53">
        <v>0</v>
      </c>
    </row>
    <row r="28" spans="1:5" s="86" customFormat="1" ht="27" x14ac:dyDescent="0.3">
      <c r="A28" s="107">
        <v>27</v>
      </c>
      <c r="B28" s="113" t="s">
        <v>157</v>
      </c>
      <c r="C28" s="51">
        <f t="shared" si="0"/>
        <v>0</v>
      </c>
      <c r="D28" s="52">
        <v>0</v>
      </c>
      <c r="E28" s="53">
        <v>0</v>
      </c>
    </row>
    <row r="29" spans="1:5" s="86" customFormat="1" ht="40.200000000000003" x14ac:dyDescent="0.3">
      <c r="A29" s="107">
        <v>28</v>
      </c>
      <c r="B29" s="113" t="s">
        <v>158</v>
      </c>
      <c r="C29" s="51">
        <f t="shared" si="0"/>
        <v>30000</v>
      </c>
      <c r="D29" s="57">
        <v>30000</v>
      </c>
      <c r="E29" s="57">
        <v>0</v>
      </c>
    </row>
    <row r="30" spans="1:5" s="86" customFormat="1" ht="27" x14ac:dyDescent="0.3">
      <c r="A30" s="107">
        <v>29</v>
      </c>
      <c r="B30" s="87" t="s">
        <v>182</v>
      </c>
      <c r="C30" s="51">
        <f t="shared" si="0"/>
        <v>10000</v>
      </c>
      <c r="D30" s="53"/>
      <c r="E30" s="53">
        <v>10000</v>
      </c>
    </row>
    <row r="31" spans="1:5" s="86" customFormat="1" ht="27" x14ac:dyDescent="0.3">
      <c r="A31" s="107">
        <v>30</v>
      </c>
      <c r="B31" s="87" t="s">
        <v>47</v>
      </c>
      <c r="C31" s="51">
        <f t="shared" si="0"/>
        <v>10000</v>
      </c>
      <c r="D31" s="53"/>
      <c r="E31" s="53">
        <v>10000</v>
      </c>
    </row>
    <row r="32" spans="1:5" s="86" customFormat="1" x14ac:dyDescent="0.3">
      <c r="A32" s="108"/>
      <c r="B32" s="109" t="s">
        <v>39</v>
      </c>
      <c r="C32" s="56">
        <f>SUM(C3:C31)</f>
        <v>3106056</v>
      </c>
      <c r="D32" s="56">
        <f t="shared" ref="D32:E32" si="1">SUM(D3:D31)</f>
        <v>2249035</v>
      </c>
      <c r="E32" s="56">
        <f t="shared" si="1"/>
        <v>857021</v>
      </c>
    </row>
    <row r="33" spans="1:5" ht="27" x14ac:dyDescent="0.3">
      <c r="A33" s="107">
        <v>31</v>
      </c>
      <c r="B33" s="59" t="s">
        <v>132</v>
      </c>
      <c r="C33" s="51">
        <f t="shared" ref="C33:C37" si="2">D33+E33</f>
        <v>100000</v>
      </c>
      <c r="D33" s="52">
        <v>70000</v>
      </c>
      <c r="E33" s="53">
        <v>30000</v>
      </c>
    </row>
    <row r="34" spans="1:5" ht="53.4" x14ac:dyDescent="0.3">
      <c r="A34" s="107">
        <v>32</v>
      </c>
      <c r="B34" s="87" t="s">
        <v>133</v>
      </c>
      <c r="C34" s="51">
        <f t="shared" si="2"/>
        <v>193655</v>
      </c>
      <c r="D34" s="52">
        <f>200000-56345</f>
        <v>143655</v>
      </c>
      <c r="E34" s="53">
        <v>50000</v>
      </c>
    </row>
    <row r="35" spans="1:5" ht="29.4" customHeight="1" x14ac:dyDescent="0.3">
      <c r="A35" s="107">
        <v>33</v>
      </c>
      <c r="B35" s="87" t="s">
        <v>98</v>
      </c>
      <c r="C35" s="51">
        <f t="shared" si="2"/>
        <v>180000</v>
      </c>
      <c r="D35" s="52">
        <v>130000</v>
      </c>
      <c r="E35" s="53">
        <v>50000</v>
      </c>
    </row>
    <row r="36" spans="1:5" ht="27" x14ac:dyDescent="0.3">
      <c r="A36" s="107">
        <v>36</v>
      </c>
      <c r="B36" s="87" t="s">
        <v>134</v>
      </c>
      <c r="C36" s="51">
        <f t="shared" si="2"/>
        <v>180000</v>
      </c>
      <c r="D36" s="52">
        <v>130000</v>
      </c>
      <c r="E36" s="53">
        <v>50000</v>
      </c>
    </row>
    <row r="37" spans="1:5" ht="40.200000000000003" x14ac:dyDescent="0.3">
      <c r="A37" s="107">
        <v>38</v>
      </c>
      <c r="B37" s="87" t="s">
        <v>135</v>
      </c>
      <c r="C37" s="51">
        <f t="shared" si="2"/>
        <v>130000</v>
      </c>
      <c r="D37" s="52">
        <v>60000</v>
      </c>
      <c r="E37" s="53">
        <v>70000</v>
      </c>
    </row>
    <row r="38" spans="1:5" x14ac:dyDescent="0.3">
      <c r="A38" s="108"/>
      <c r="B38" s="109" t="s">
        <v>48</v>
      </c>
      <c r="C38" s="56">
        <f>SUM(C33:C37)</f>
        <v>783655</v>
      </c>
      <c r="D38" s="56">
        <f t="shared" ref="D38:E38" si="3">SUM(D33:D37)</f>
        <v>533655</v>
      </c>
      <c r="E38" s="56">
        <f t="shared" si="3"/>
        <v>250000</v>
      </c>
    </row>
    <row r="39" spans="1:5" ht="43.95" customHeight="1" x14ac:dyDescent="0.3">
      <c r="A39" s="107">
        <v>39</v>
      </c>
      <c r="B39" s="112" t="s">
        <v>147</v>
      </c>
      <c r="C39" s="51">
        <f t="shared" ref="C39:C42" si="4">D39+E39</f>
        <v>30000</v>
      </c>
      <c r="D39" s="57">
        <v>30000</v>
      </c>
      <c r="E39" s="58">
        <v>0</v>
      </c>
    </row>
    <row r="40" spans="1:5" ht="65.400000000000006" customHeight="1" x14ac:dyDescent="0.3">
      <c r="A40" s="107">
        <v>40</v>
      </c>
      <c r="B40" s="115" t="s">
        <v>160</v>
      </c>
      <c r="C40" s="51">
        <f t="shared" si="4"/>
        <v>120000</v>
      </c>
      <c r="D40" s="57">
        <v>60000</v>
      </c>
      <c r="E40" s="58">
        <v>60000</v>
      </c>
    </row>
    <row r="41" spans="1:5" ht="39.6" x14ac:dyDescent="0.3">
      <c r="A41" s="107">
        <v>41</v>
      </c>
      <c r="B41" s="115" t="s">
        <v>149</v>
      </c>
      <c r="C41" s="51">
        <f t="shared" si="4"/>
        <v>30000</v>
      </c>
      <c r="D41" s="57">
        <v>20000</v>
      </c>
      <c r="E41" s="58">
        <v>10000</v>
      </c>
    </row>
    <row r="42" spans="1:5" ht="39.6" x14ac:dyDescent="0.3">
      <c r="A42" s="107">
        <v>42</v>
      </c>
      <c r="B42" s="115" t="s">
        <v>150</v>
      </c>
      <c r="C42" s="51">
        <f t="shared" si="4"/>
        <v>30000</v>
      </c>
      <c r="D42" s="57">
        <v>20000</v>
      </c>
      <c r="E42" s="58">
        <v>10000</v>
      </c>
    </row>
    <row r="43" spans="1:5" x14ac:dyDescent="0.3">
      <c r="A43" s="108"/>
      <c r="B43" s="109" t="s">
        <v>44</v>
      </c>
      <c r="C43" s="56">
        <f>SUM(C39:C42)</f>
        <v>210000</v>
      </c>
      <c r="D43" s="56">
        <f t="shared" ref="D43:E43" si="5">SUM(D39:D42)</f>
        <v>130000</v>
      </c>
      <c r="E43" s="56">
        <f t="shared" si="5"/>
        <v>80000</v>
      </c>
    </row>
    <row r="44" spans="1:5" x14ac:dyDescent="0.3">
      <c r="A44" s="107">
        <v>43</v>
      </c>
      <c r="B44" s="156" t="s">
        <v>180</v>
      </c>
      <c r="C44" s="51">
        <f t="shared" ref="C44:C45" si="6">D44+E44</f>
        <v>50000</v>
      </c>
      <c r="D44" s="57">
        <v>50000</v>
      </c>
      <c r="E44" s="58"/>
    </row>
    <row r="45" spans="1:5" ht="41.4" x14ac:dyDescent="0.3">
      <c r="A45" s="107">
        <v>44</v>
      </c>
      <c r="B45" s="157" t="s">
        <v>181</v>
      </c>
      <c r="C45" s="51">
        <f t="shared" si="6"/>
        <v>30000</v>
      </c>
      <c r="D45" s="57">
        <v>30000</v>
      </c>
      <c r="E45" s="58">
        <v>0</v>
      </c>
    </row>
    <row r="46" spans="1:5" x14ac:dyDescent="0.3">
      <c r="A46" s="108"/>
      <c r="B46" s="109" t="s">
        <v>41</v>
      </c>
      <c r="C46" s="56">
        <f>SUM(C44:C45)</f>
        <v>80000</v>
      </c>
      <c r="D46" s="56">
        <f t="shared" ref="D46:E46" si="7">SUM(D44:D45)</f>
        <v>80000</v>
      </c>
      <c r="E46" s="56">
        <f t="shared" si="7"/>
        <v>0</v>
      </c>
    </row>
    <row r="47" spans="1:5" x14ac:dyDescent="0.3">
      <c r="A47" s="107">
        <v>45</v>
      </c>
      <c r="B47" s="116" t="s">
        <v>156</v>
      </c>
      <c r="C47" s="51">
        <f>D47+E47</f>
        <v>20000</v>
      </c>
      <c r="D47" s="57">
        <v>20000</v>
      </c>
      <c r="E47" s="58"/>
    </row>
    <row r="48" spans="1:5" x14ac:dyDescent="0.3">
      <c r="A48" s="108"/>
      <c r="B48" s="117" t="s">
        <v>155</v>
      </c>
      <c r="C48" s="56">
        <f>SUM(C47)</f>
        <v>20000</v>
      </c>
      <c r="D48" s="56">
        <f t="shared" ref="D48:E48" si="8">SUM(D47)</f>
        <v>20000</v>
      </c>
      <c r="E48" s="56">
        <f t="shared" si="8"/>
        <v>0</v>
      </c>
    </row>
    <row r="49" spans="1:5" x14ac:dyDescent="0.3">
      <c r="A49" s="107">
        <v>46</v>
      </c>
      <c r="B49" s="116" t="s">
        <v>151</v>
      </c>
      <c r="C49" s="51">
        <f t="shared" ref="C49:C50" si="9">D49+E49</f>
        <v>50000</v>
      </c>
      <c r="D49" s="57">
        <v>50000</v>
      </c>
      <c r="E49" s="58"/>
    </row>
    <row r="50" spans="1:5" ht="33" customHeight="1" x14ac:dyDescent="0.3">
      <c r="A50" s="107">
        <v>47</v>
      </c>
      <c r="B50" s="112" t="s">
        <v>153</v>
      </c>
      <c r="C50" s="51">
        <f t="shared" si="9"/>
        <v>35000</v>
      </c>
      <c r="D50" s="57">
        <v>35000</v>
      </c>
      <c r="E50" s="58"/>
    </row>
    <row r="51" spans="1:5" x14ac:dyDescent="0.3">
      <c r="A51" s="108"/>
      <c r="B51" s="109" t="s">
        <v>42</v>
      </c>
      <c r="C51" s="56">
        <f>SUM(C49:C50)</f>
        <v>85000</v>
      </c>
      <c r="D51" s="56">
        <f t="shared" ref="D51:E51" si="10">SUM(D49:D50)</f>
        <v>85000</v>
      </c>
      <c r="E51" s="56">
        <f t="shared" si="10"/>
        <v>0</v>
      </c>
    </row>
    <row r="52" spans="1:5" ht="27" x14ac:dyDescent="0.3">
      <c r="A52" s="107">
        <v>48</v>
      </c>
      <c r="B52" s="112" t="s">
        <v>152</v>
      </c>
      <c r="C52" s="51">
        <f>D52+E52</f>
        <v>80000</v>
      </c>
      <c r="D52" s="57">
        <v>40000</v>
      </c>
      <c r="E52" s="58">
        <v>40000</v>
      </c>
    </row>
    <row r="53" spans="1:5" x14ac:dyDescent="0.3">
      <c r="A53" s="108"/>
      <c r="B53" s="109" t="s">
        <v>43</v>
      </c>
      <c r="C53" s="56">
        <f>SUM(C52:C52)</f>
        <v>80000</v>
      </c>
      <c r="D53" s="56">
        <f t="shared" ref="D53:E53" si="11">SUM(D52:D52)</f>
        <v>40000</v>
      </c>
      <c r="E53" s="56">
        <f t="shared" si="11"/>
        <v>40000</v>
      </c>
    </row>
    <row r="54" spans="1:5" x14ac:dyDescent="0.3">
      <c r="A54" s="110">
        <v>49</v>
      </c>
      <c r="B54" s="111" t="s">
        <v>154</v>
      </c>
      <c r="C54" s="51">
        <f>D54+E54</f>
        <v>12000</v>
      </c>
      <c r="D54" s="89"/>
      <c r="E54" s="58">
        <v>12000</v>
      </c>
    </row>
    <row r="55" spans="1:5" x14ac:dyDescent="0.3">
      <c r="A55" s="108"/>
      <c r="B55" s="109" t="s">
        <v>97</v>
      </c>
      <c r="C55" s="56">
        <f>C54</f>
        <v>12000</v>
      </c>
      <c r="D55" s="56">
        <f t="shared" ref="D55:E55" si="12">D54</f>
        <v>0</v>
      </c>
      <c r="E55" s="56">
        <f t="shared" si="12"/>
        <v>12000</v>
      </c>
    </row>
    <row r="56" spans="1:5" ht="27" x14ac:dyDescent="0.3">
      <c r="A56" s="107">
        <v>50</v>
      </c>
      <c r="B56" s="87" t="s">
        <v>162</v>
      </c>
      <c r="C56" s="51">
        <f>D56+E56</f>
        <v>160000</v>
      </c>
      <c r="D56" s="57">
        <v>80000</v>
      </c>
      <c r="E56" s="58">
        <v>80000</v>
      </c>
    </row>
    <row r="57" spans="1:5" x14ac:dyDescent="0.3">
      <c r="A57" s="54"/>
      <c r="B57" s="55" t="s">
        <v>40</v>
      </c>
      <c r="C57" s="56">
        <f>SUM(C56:C56)</f>
        <v>160000</v>
      </c>
      <c r="D57" s="56">
        <f t="shared" ref="D57:E57" si="13">SUM(D56:D56)</f>
        <v>80000</v>
      </c>
      <c r="E57" s="56">
        <f t="shared" si="13"/>
        <v>80000</v>
      </c>
    </row>
    <row r="58" spans="1:5" x14ac:dyDescent="0.3">
      <c r="A58" s="88"/>
      <c r="B58" s="63" t="s">
        <v>45</v>
      </c>
      <c r="C58" s="172">
        <f>C32+C38+C43+C46+C48+C51+C53+C55+C57</f>
        <v>4536711</v>
      </c>
      <c r="D58" s="64">
        <f t="shared" ref="C58:E58" si="14">D32+D38+D43+D46+D48+D51+D53+D55+D57</f>
        <v>3217690</v>
      </c>
      <c r="E58" s="64">
        <f t="shared" si="14"/>
        <v>1319021</v>
      </c>
    </row>
    <row r="59" spans="1:5" x14ac:dyDescent="0.3">
      <c r="A59" s="120"/>
      <c r="B59" s="120"/>
      <c r="C59" s="120"/>
      <c r="D59" s="120"/>
      <c r="E59" s="120"/>
    </row>
    <row r="60" spans="1:5" x14ac:dyDescent="0.3">
      <c r="A60" s="120"/>
      <c r="B60" s="120"/>
      <c r="C60" s="120"/>
      <c r="D60" s="120"/>
      <c r="E60" s="127"/>
    </row>
    <row r="61" spans="1:5" x14ac:dyDescent="0.3">
      <c r="A61" s="120"/>
      <c r="B61" s="120"/>
      <c r="C61" s="120"/>
      <c r="D61" s="120"/>
      <c r="E61" s="120"/>
    </row>
    <row r="62" spans="1:5" x14ac:dyDescent="0.3">
      <c r="A62" s="120"/>
      <c r="B62" s="120"/>
      <c r="C62" s="120"/>
      <c r="D62" s="120"/>
      <c r="E62" s="120"/>
    </row>
    <row r="63" spans="1:5" x14ac:dyDescent="0.3">
      <c r="A63" s="120"/>
      <c r="B63" s="120"/>
      <c r="C63" s="120"/>
      <c r="D63" s="120"/>
      <c r="E63" s="120"/>
    </row>
    <row r="64" spans="1:5" x14ac:dyDescent="0.3">
      <c r="A64" s="120"/>
      <c r="B64" s="120"/>
      <c r="C64" s="120"/>
      <c r="D64" s="120"/>
      <c r="E64" s="120"/>
    </row>
    <row r="65" spans="1:5" x14ac:dyDescent="0.3">
      <c r="A65" s="120"/>
      <c r="B65" s="120"/>
      <c r="C65" s="120"/>
      <c r="D65" s="120"/>
      <c r="E65" s="120"/>
    </row>
    <row r="66" spans="1:5" x14ac:dyDescent="0.3">
      <c r="A66" s="120"/>
      <c r="B66" s="120"/>
      <c r="C66" s="120"/>
      <c r="D66" s="120"/>
      <c r="E66" s="120"/>
    </row>
  </sheetData>
  <pageMargins left="0" right="0" top="0.15748031496062992" bottom="0" header="0.31496062992125984" footer="0.31496062992125984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9EB8C-F34F-440A-80F9-0D0B7F9D1EE2}">
  <dimension ref="A1:F66"/>
  <sheetViews>
    <sheetView zoomScale="107" zoomScaleNormal="107" workbookViewId="0">
      <selection activeCell="B1" sqref="B1:C1"/>
    </sheetView>
  </sheetViews>
  <sheetFormatPr defaultRowHeight="14.4" x14ac:dyDescent="0.3"/>
  <cols>
    <col min="1" max="1" width="3.6640625" customWidth="1"/>
    <col min="2" max="2" width="39.6640625" customWidth="1"/>
    <col min="3" max="3" width="13.6640625" customWidth="1"/>
    <col min="4" max="4" width="13.33203125" customWidth="1"/>
    <col min="5" max="5" width="12.88671875" customWidth="1"/>
    <col min="6" max="6" width="10.6640625" customWidth="1"/>
  </cols>
  <sheetData>
    <row r="1" spans="1:6" ht="15.6" x14ac:dyDescent="0.3">
      <c r="A1" s="50"/>
      <c r="B1" s="166" t="s">
        <v>94</v>
      </c>
      <c r="C1" s="167"/>
      <c r="D1" s="128"/>
      <c r="E1" s="49"/>
      <c r="F1" s="50"/>
    </row>
    <row r="2" spans="1:6" ht="15.6" x14ac:dyDescent="0.3">
      <c r="A2" s="154"/>
      <c r="B2" s="152" t="s">
        <v>111</v>
      </c>
      <c r="C2" s="153" t="s">
        <v>36</v>
      </c>
      <c r="D2" s="154">
        <v>10</v>
      </c>
      <c r="E2" s="154">
        <v>21</v>
      </c>
      <c r="F2" s="126"/>
    </row>
    <row r="3" spans="1:6" ht="77.400000000000006" customHeight="1" x14ac:dyDescent="0.3">
      <c r="A3" s="107">
        <v>1</v>
      </c>
      <c r="B3" s="59" t="s">
        <v>125</v>
      </c>
      <c r="C3" s="118">
        <f>D3+E3</f>
        <v>50000</v>
      </c>
      <c r="D3" s="119">
        <v>50000</v>
      </c>
      <c r="E3" s="119">
        <v>0</v>
      </c>
    </row>
    <row r="4" spans="1:6" s="86" customFormat="1" ht="40.200000000000003" x14ac:dyDescent="0.3">
      <c r="A4" s="107">
        <v>2</v>
      </c>
      <c r="B4" s="87" t="s">
        <v>136</v>
      </c>
      <c r="C4" s="118">
        <f t="shared" ref="C4:C31" si="0">D4+E4</f>
        <v>40000</v>
      </c>
      <c r="D4" s="57">
        <v>30000</v>
      </c>
      <c r="E4" s="57">
        <v>10000</v>
      </c>
    </row>
    <row r="5" spans="1:6" s="86" customFormat="1" x14ac:dyDescent="0.3">
      <c r="A5" s="107">
        <v>3</v>
      </c>
      <c r="B5" s="87" t="s">
        <v>37</v>
      </c>
      <c r="C5" s="118">
        <f t="shared" si="0"/>
        <v>2273370</v>
      </c>
      <c r="D5" s="57">
        <v>1271348</v>
      </c>
      <c r="E5" s="57">
        <v>1002022</v>
      </c>
    </row>
    <row r="6" spans="1:6" s="86" customFormat="1" ht="43.95" customHeight="1" x14ac:dyDescent="0.3">
      <c r="A6" s="107">
        <v>4</v>
      </c>
      <c r="B6" s="87" t="s">
        <v>93</v>
      </c>
      <c r="C6" s="118">
        <f t="shared" si="0"/>
        <v>30000</v>
      </c>
      <c r="D6" s="57">
        <v>30000</v>
      </c>
      <c r="E6" s="57">
        <v>0</v>
      </c>
    </row>
    <row r="7" spans="1:6" s="86" customFormat="1" ht="57.6" customHeight="1" x14ac:dyDescent="0.3">
      <c r="A7" s="107">
        <v>5</v>
      </c>
      <c r="B7" s="87" t="s">
        <v>148</v>
      </c>
      <c r="C7" s="118">
        <f t="shared" si="0"/>
        <v>200000</v>
      </c>
      <c r="D7" s="57">
        <v>200000</v>
      </c>
      <c r="E7" s="57">
        <v>0</v>
      </c>
    </row>
    <row r="8" spans="1:6" s="86" customFormat="1" ht="27" x14ac:dyDescent="0.3">
      <c r="A8" s="107">
        <v>6</v>
      </c>
      <c r="B8" s="87" t="s">
        <v>126</v>
      </c>
      <c r="C8" s="118">
        <f t="shared" si="0"/>
        <v>40000</v>
      </c>
      <c r="D8" s="57">
        <v>40000</v>
      </c>
      <c r="E8" s="57">
        <v>0</v>
      </c>
    </row>
    <row r="9" spans="1:6" s="86" customFormat="1" ht="42" customHeight="1" x14ac:dyDescent="0.3">
      <c r="A9" s="107">
        <v>7</v>
      </c>
      <c r="B9" s="87" t="s">
        <v>38</v>
      </c>
      <c r="C9" s="118">
        <f t="shared" si="0"/>
        <v>40000</v>
      </c>
      <c r="D9" s="57">
        <v>30000</v>
      </c>
      <c r="E9" s="57">
        <v>10000</v>
      </c>
    </row>
    <row r="10" spans="1:6" s="86" customFormat="1" ht="53.4" x14ac:dyDescent="0.3">
      <c r="A10" s="107">
        <v>8</v>
      </c>
      <c r="B10" s="87" t="s">
        <v>127</v>
      </c>
      <c r="C10" s="118">
        <f t="shared" si="0"/>
        <v>50000</v>
      </c>
      <c r="D10" s="57">
        <v>35000</v>
      </c>
      <c r="E10" s="57">
        <v>15000</v>
      </c>
    </row>
    <row r="11" spans="1:6" s="86" customFormat="1" ht="27" x14ac:dyDescent="0.3">
      <c r="A11" s="107">
        <v>9</v>
      </c>
      <c r="B11" s="87" t="s">
        <v>128</v>
      </c>
      <c r="C11" s="118">
        <f t="shared" si="0"/>
        <v>50000</v>
      </c>
      <c r="D11" s="57">
        <v>50000</v>
      </c>
      <c r="E11" s="57">
        <v>0</v>
      </c>
    </row>
    <row r="12" spans="1:6" s="86" customFormat="1" ht="27" x14ac:dyDescent="0.3">
      <c r="A12" s="107">
        <v>10</v>
      </c>
      <c r="B12" s="87" t="s">
        <v>138</v>
      </c>
      <c r="C12" s="118">
        <f t="shared" si="0"/>
        <v>20000</v>
      </c>
      <c r="D12" s="57">
        <v>0</v>
      </c>
      <c r="E12" s="57">
        <v>20000</v>
      </c>
    </row>
    <row r="13" spans="1:6" s="86" customFormat="1" ht="40.200000000000003" x14ac:dyDescent="0.3">
      <c r="A13" s="107">
        <v>11</v>
      </c>
      <c r="B13" s="87" t="s">
        <v>129</v>
      </c>
      <c r="C13" s="118">
        <f t="shared" si="0"/>
        <v>50000</v>
      </c>
      <c r="D13" s="57">
        <v>50000</v>
      </c>
      <c r="E13" s="57">
        <v>0</v>
      </c>
    </row>
    <row r="14" spans="1:6" s="86" customFormat="1" ht="27" x14ac:dyDescent="0.3">
      <c r="A14" s="107">
        <v>12</v>
      </c>
      <c r="B14" s="87" t="s">
        <v>159</v>
      </c>
      <c r="C14" s="118">
        <f t="shared" si="0"/>
        <v>30000</v>
      </c>
      <c r="D14" s="57">
        <v>30000</v>
      </c>
      <c r="E14" s="57">
        <v>0</v>
      </c>
    </row>
    <row r="15" spans="1:6" s="86" customFormat="1" ht="27" x14ac:dyDescent="0.3">
      <c r="A15" s="107">
        <v>13</v>
      </c>
      <c r="B15" s="87" t="s">
        <v>140</v>
      </c>
      <c r="C15" s="118">
        <f t="shared" si="0"/>
        <v>25000</v>
      </c>
      <c r="D15" s="57">
        <f>35000-10000</f>
        <v>25000</v>
      </c>
      <c r="E15" s="57">
        <v>0</v>
      </c>
    </row>
    <row r="16" spans="1:6" s="86" customFormat="1" ht="27" x14ac:dyDescent="0.3">
      <c r="A16" s="107">
        <v>14</v>
      </c>
      <c r="B16" s="113" t="s">
        <v>141</v>
      </c>
      <c r="C16" s="118">
        <f t="shared" si="0"/>
        <v>45000</v>
      </c>
      <c r="D16" s="57">
        <f>50000-10000</f>
        <v>40000</v>
      </c>
      <c r="E16" s="57">
        <v>5000</v>
      </c>
    </row>
    <row r="17" spans="1:5" s="86" customFormat="1" ht="27" x14ac:dyDescent="0.3">
      <c r="A17" s="107">
        <v>15</v>
      </c>
      <c r="B17" s="87" t="s">
        <v>130</v>
      </c>
      <c r="C17" s="118">
        <f t="shared" si="0"/>
        <v>40000</v>
      </c>
      <c r="D17" s="57">
        <v>40000</v>
      </c>
      <c r="E17" s="57">
        <v>0</v>
      </c>
    </row>
    <row r="18" spans="1:5" s="86" customFormat="1" ht="27.6" customHeight="1" x14ac:dyDescent="0.3">
      <c r="A18" s="107">
        <v>16</v>
      </c>
      <c r="B18" s="113" t="s">
        <v>142</v>
      </c>
      <c r="C18" s="118">
        <f t="shared" si="0"/>
        <v>50000</v>
      </c>
      <c r="D18" s="57">
        <v>30000</v>
      </c>
      <c r="E18" s="57">
        <v>20000</v>
      </c>
    </row>
    <row r="19" spans="1:5" s="86" customFormat="1" ht="27" x14ac:dyDescent="0.3">
      <c r="A19" s="107">
        <v>17</v>
      </c>
      <c r="B19" s="113" t="s">
        <v>143</v>
      </c>
      <c r="C19" s="118">
        <f t="shared" si="0"/>
        <v>30000</v>
      </c>
      <c r="D19" s="57">
        <v>30000</v>
      </c>
      <c r="E19" s="57">
        <v>0</v>
      </c>
    </row>
    <row r="20" spans="1:5" s="86" customFormat="1" ht="27" x14ac:dyDescent="0.3">
      <c r="A20" s="107">
        <v>18</v>
      </c>
      <c r="B20" s="113" t="s">
        <v>144</v>
      </c>
      <c r="C20" s="118">
        <f t="shared" si="0"/>
        <v>50000</v>
      </c>
      <c r="D20" s="57">
        <v>50000</v>
      </c>
      <c r="E20" s="57">
        <v>0</v>
      </c>
    </row>
    <row r="21" spans="1:5" s="86" customFormat="1" ht="40.200000000000003" x14ac:dyDescent="0.3">
      <c r="A21" s="107">
        <v>19</v>
      </c>
      <c r="B21" s="87" t="s">
        <v>131</v>
      </c>
      <c r="C21" s="118">
        <f t="shared" si="0"/>
        <v>30000</v>
      </c>
      <c r="D21" s="57">
        <v>30000</v>
      </c>
      <c r="E21" s="57"/>
    </row>
    <row r="22" spans="1:5" s="86" customFormat="1" ht="55.2" customHeight="1" x14ac:dyDescent="0.3">
      <c r="A22" s="107">
        <v>20</v>
      </c>
      <c r="B22" s="87" t="s">
        <v>161</v>
      </c>
      <c r="C22" s="118">
        <f t="shared" si="0"/>
        <v>70000</v>
      </c>
      <c r="D22" s="52">
        <v>70000</v>
      </c>
      <c r="E22" s="53">
        <v>0</v>
      </c>
    </row>
    <row r="23" spans="1:5" s="86" customFormat="1" ht="27" x14ac:dyDescent="0.3">
      <c r="A23" s="107">
        <v>21</v>
      </c>
      <c r="B23" s="87" t="s">
        <v>96</v>
      </c>
      <c r="C23" s="118">
        <f t="shared" si="0"/>
        <v>35000</v>
      </c>
      <c r="D23" s="57">
        <v>20000</v>
      </c>
      <c r="E23" s="57">
        <v>15000</v>
      </c>
    </row>
    <row r="24" spans="1:5" s="86" customFormat="1" ht="27" x14ac:dyDescent="0.3">
      <c r="A24" s="107">
        <v>22</v>
      </c>
      <c r="B24" s="87" t="s">
        <v>145</v>
      </c>
      <c r="C24" s="118">
        <f t="shared" si="0"/>
        <v>50000</v>
      </c>
      <c r="D24" s="57">
        <v>50000</v>
      </c>
      <c r="E24" s="57">
        <v>0</v>
      </c>
    </row>
    <row r="25" spans="1:5" s="86" customFormat="1" ht="40.200000000000003" x14ac:dyDescent="0.3">
      <c r="A25" s="107">
        <v>23</v>
      </c>
      <c r="B25" s="113" t="s">
        <v>163</v>
      </c>
      <c r="C25" s="118">
        <f t="shared" si="0"/>
        <v>100000</v>
      </c>
      <c r="D25" s="57">
        <v>70000</v>
      </c>
      <c r="E25" s="57">
        <v>30000</v>
      </c>
    </row>
    <row r="26" spans="1:5" s="86" customFormat="1" ht="27" x14ac:dyDescent="0.3">
      <c r="A26" s="107">
        <v>24</v>
      </c>
      <c r="B26" s="87" t="s">
        <v>139</v>
      </c>
      <c r="C26" s="118">
        <f t="shared" si="0"/>
        <v>30000</v>
      </c>
      <c r="D26" s="57">
        <v>30000</v>
      </c>
      <c r="E26" s="57">
        <v>0</v>
      </c>
    </row>
    <row r="27" spans="1:5" s="86" customFormat="1" ht="27" x14ac:dyDescent="0.3">
      <c r="A27" s="107">
        <v>25</v>
      </c>
      <c r="B27" s="113" t="s">
        <v>146</v>
      </c>
      <c r="C27" s="118">
        <f t="shared" si="0"/>
        <v>30000</v>
      </c>
      <c r="D27" s="57">
        <v>30000</v>
      </c>
      <c r="E27" s="57">
        <v>0</v>
      </c>
    </row>
    <row r="28" spans="1:5" s="86" customFormat="1" ht="27" x14ac:dyDescent="0.3">
      <c r="A28" s="107">
        <v>27</v>
      </c>
      <c r="B28" s="113" t="s">
        <v>157</v>
      </c>
      <c r="C28" s="118">
        <f t="shared" si="0"/>
        <v>30000</v>
      </c>
      <c r="D28" s="57">
        <v>20000</v>
      </c>
      <c r="E28" s="57">
        <v>10000</v>
      </c>
    </row>
    <row r="29" spans="1:5" s="86" customFormat="1" ht="40.200000000000003" x14ac:dyDescent="0.3">
      <c r="A29" s="107">
        <v>28</v>
      </c>
      <c r="B29" s="113" t="s">
        <v>158</v>
      </c>
      <c r="C29" s="118">
        <f t="shared" si="0"/>
        <v>20000</v>
      </c>
      <c r="D29" s="57">
        <v>20000</v>
      </c>
      <c r="E29" s="57"/>
    </row>
    <row r="30" spans="1:5" s="86" customFormat="1" ht="27" x14ac:dyDescent="0.3">
      <c r="A30" s="107">
        <v>29</v>
      </c>
      <c r="B30" s="87" t="s">
        <v>182</v>
      </c>
      <c r="C30" s="118">
        <f t="shared" si="0"/>
        <v>0</v>
      </c>
      <c r="D30" s="57">
        <v>0</v>
      </c>
      <c r="E30" s="57">
        <v>0</v>
      </c>
    </row>
    <row r="31" spans="1:5" s="86" customFormat="1" ht="27" x14ac:dyDescent="0.3">
      <c r="A31" s="107">
        <v>30</v>
      </c>
      <c r="B31" s="87" t="s">
        <v>47</v>
      </c>
      <c r="C31" s="118">
        <f t="shared" si="0"/>
        <v>0</v>
      </c>
      <c r="D31" s="57">
        <v>0</v>
      </c>
      <c r="E31" s="57">
        <v>0</v>
      </c>
    </row>
    <row r="32" spans="1:5" s="86" customFormat="1" x14ac:dyDescent="0.3">
      <c r="A32" s="108"/>
      <c r="B32" s="109" t="s">
        <v>39</v>
      </c>
      <c r="C32" s="56">
        <f>SUM(C3:C31)</f>
        <v>3508370</v>
      </c>
      <c r="D32" s="56">
        <f t="shared" ref="D32:E32" si="1">SUM(D3:D31)</f>
        <v>2371348</v>
      </c>
      <c r="E32" s="56">
        <f t="shared" si="1"/>
        <v>1137022</v>
      </c>
    </row>
    <row r="33" spans="1:5" ht="27" x14ac:dyDescent="0.3">
      <c r="A33" s="107">
        <v>31</v>
      </c>
      <c r="B33" s="59" t="s">
        <v>132</v>
      </c>
      <c r="C33" s="118">
        <f t="shared" ref="C33:C37" si="2">D33+E33</f>
        <v>100000</v>
      </c>
      <c r="D33" s="57">
        <v>100000</v>
      </c>
      <c r="E33" s="49">
        <v>0</v>
      </c>
    </row>
    <row r="34" spans="1:5" ht="53.4" x14ac:dyDescent="0.3">
      <c r="A34" s="107">
        <v>32</v>
      </c>
      <c r="B34" s="87" t="s">
        <v>133</v>
      </c>
      <c r="C34" s="118">
        <f t="shared" si="2"/>
        <v>100000</v>
      </c>
      <c r="D34" s="57">
        <v>100000</v>
      </c>
      <c r="E34" s="57">
        <v>0</v>
      </c>
    </row>
    <row r="35" spans="1:5" ht="29.4" customHeight="1" x14ac:dyDescent="0.3">
      <c r="A35" s="107">
        <v>33</v>
      </c>
      <c r="B35" s="87" t="s">
        <v>98</v>
      </c>
      <c r="C35" s="118">
        <f t="shared" si="2"/>
        <v>100000</v>
      </c>
      <c r="D35" s="57">
        <v>80000</v>
      </c>
      <c r="E35" s="57">
        <v>20000</v>
      </c>
    </row>
    <row r="36" spans="1:5" ht="27" x14ac:dyDescent="0.3">
      <c r="A36" s="107">
        <v>36</v>
      </c>
      <c r="B36" s="87" t="s">
        <v>134</v>
      </c>
      <c r="C36" s="118">
        <f t="shared" si="2"/>
        <v>206642</v>
      </c>
      <c r="D36" s="57">
        <f>100000+6642</f>
        <v>106642</v>
      </c>
      <c r="E36" s="57">
        <v>100000</v>
      </c>
    </row>
    <row r="37" spans="1:5" ht="40.200000000000003" x14ac:dyDescent="0.3">
      <c r="A37" s="107">
        <v>38</v>
      </c>
      <c r="B37" s="87" t="s">
        <v>135</v>
      </c>
      <c r="C37" s="118">
        <f t="shared" si="2"/>
        <v>100000</v>
      </c>
      <c r="D37" s="57">
        <v>80000</v>
      </c>
      <c r="E37" s="57">
        <v>20000</v>
      </c>
    </row>
    <row r="38" spans="1:5" x14ac:dyDescent="0.3">
      <c r="A38" s="108"/>
      <c r="B38" s="109" t="s">
        <v>48</v>
      </c>
      <c r="C38" s="56">
        <f>SUM(C33:C37)</f>
        <v>606642</v>
      </c>
      <c r="D38" s="56">
        <f>SUM(D33:D37)</f>
        <v>466642</v>
      </c>
      <c r="E38" s="56">
        <f>SUM(E33:E37)</f>
        <v>140000</v>
      </c>
    </row>
    <row r="39" spans="1:5" ht="43.95" customHeight="1" x14ac:dyDescent="0.3">
      <c r="A39" s="107">
        <v>39</v>
      </c>
      <c r="B39" s="112" t="s">
        <v>147</v>
      </c>
      <c r="C39" s="118">
        <f t="shared" ref="C39:C42" si="3">D39+E39</f>
        <v>30000</v>
      </c>
      <c r="D39" s="57">
        <v>30000</v>
      </c>
      <c r="E39" s="58">
        <v>0</v>
      </c>
    </row>
    <row r="40" spans="1:5" ht="65.400000000000006" customHeight="1" x14ac:dyDescent="0.3">
      <c r="A40" s="107">
        <v>40</v>
      </c>
      <c r="B40" s="115" t="s">
        <v>160</v>
      </c>
      <c r="C40" s="118">
        <f t="shared" si="3"/>
        <v>100000</v>
      </c>
      <c r="D40" s="57">
        <v>60000</v>
      </c>
      <c r="E40" s="58">
        <v>40000</v>
      </c>
    </row>
    <row r="41" spans="1:5" ht="39.6" x14ac:dyDescent="0.3">
      <c r="A41" s="107">
        <v>41</v>
      </c>
      <c r="B41" s="115" t="s">
        <v>149</v>
      </c>
      <c r="C41" s="118">
        <f t="shared" si="3"/>
        <v>30000</v>
      </c>
      <c r="D41" s="57">
        <v>20000</v>
      </c>
      <c r="E41" s="58">
        <v>10000</v>
      </c>
    </row>
    <row r="42" spans="1:5" ht="39.6" x14ac:dyDescent="0.3">
      <c r="A42" s="107">
        <v>42</v>
      </c>
      <c r="B42" s="115" t="s">
        <v>150</v>
      </c>
      <c r="C42" s="118">
        <f t="shared" si="3"/>
        <v>30000</v>
      </c>
      <c r="D42" s="57">
        <v>20000</v>
      </c>
      <c r="E42" s="58">
        <v>10000</v>
      </c>
    </row>
    <row r="43" spans="1:5" x14ac:dyDescent="0.3">
      <c r="A43" s="108"/>
      <c r="B43" s="109" t="s">
        <v>44</v>
      </c>
      <c r="C43" s="56">
        <f>SUM(C39:C42)</f>
        <v>190000</v>
      </c>
      <c r="D43" s="60">
        <f>SUM(D39:D42)</f>
        <v>130000</v>
      </c>
      <c r="E43" s="60">
        <f>SUM(E39:E42)</f>
        <v>60000</v>
      </c>
    </row>
    <row r="44" spans="1:5" x14ac:dyDescent="0.3">
      <c r="A44" s="107">
        <v>43</v>
      </c>
      <c r="B44" s="156" t="s">
        <v>180</v>
      </c>
      <c r="C44" s="118">
        <f t="shared" ref="C44:C45" si="4">D44+E44</f>
        <v>50000</v>
      </c>
      <c r="D44" s="57">
        <v>30000</v>
      </c>
      <c r="E44" s="57">
        <v>20000</v>
      </c>
    </row>
    <row r="45" spans="1:5" ht="41.4" x14ac:dyDescent="0.3">
      <c r="A45" s="107">
        <v>44</v>
      </c>
      <c r="B45" s="157" t="s">
        <v>181</v>
      </c>
      <c r="C45" s="118">
        <f t="shared" si="4"/>
        <v>35000</v>
      </c>
      <c r="D45" s="57">
        <v>20000</v>
      </c>
      <c r="E45" s="57">
        <v>15000</v>
      </c>
    </row>
    <row r="46" spans="1:5" x14ac:dyDescent="0.3">
      <c r="A46" s="108"/>
      <c r="B46" s="109" t="s">
        <v>41</v>
      </c>
      <c r="C46" s="56">
        <f>SUM(C44:C45)</f>
        <v>85000</v>
      </c>
      <c r="D46" s="60">
        <f>SUM(D44:D45)</f>
        <v>50000</v>
      </c>
      <c r="E46" s="56">
        <f>SUM(E44:E45)</f>
        <v>35000</v>
      </c>
    </row>
    <row r="47" spans="1:5" x14ac:dyDescent="0.3">
      <c r="A47" s="107">
        <v>45</v>
      </c>
      <c r="B47" s="121" t="s">
        <v>156</v>
      </c>
      <c r="C47" s="118">
        <f>D47+E47</f>
        <v>20000</v>
      </c>
      <c r="D47" s="57">
        <v>20000</v>
      </c>
      <c r="E47" s="57"/>
    </row>
    <row r="48" spans="1:5" x14ac:dyDescent="0.3">
      <c r="A48" s="108"/>
      <c r="B48" s="117" t="s">
        <v>155</v>
      </c>
      <c r="C48" s="56">
        <f>SUM(C47)</f>
        <v>20000</v>
      </c>
      <c r="D48" s="56">
        <f t="shared" ref="D48:E48" si="5">SUM(D47)</f>
        <v>20000</v>
      </c>
      <c r="E48" s="56">
        <f t="shared" si="5"/>
        <v>0</v>
      </c>
    </row>
    <row r="49" spans="1:5" x14ac:dyDescent="0.3">
      <c r="A49" s="107">
        <v>46</v>
      </c>
      <c r="B49" s="121" t="s">
        <v>151</v>
      </c>
      <c r="C49" s="118">
        <f t="shared" ref="C49:C50" si="6">D49+E49</f>
        <v>50000</v>
      </c>
      <c r="D49" s="57">
        <v>50000</v>
      </c>
      <c r="E49" s="57">
        <v>0</v>
      </c>
    </row>
    <row r="50" spans="1:5" ht="33" customHeight="1" x14ac:dyDescent="0.3">
      <c r="A50" s="107">
        <v>47</v>
      </c>
      <c r="B50" s="122" t="s">
        <v>153</v>
      </c>
      <c r="C50" s="118">
        <f t="shared" si="6"/>
        <v>35000</v>
      </c>
      <c r="D50" s="57">
        <v>20000</v>
      </c>
      <c r="E50" s="57">
        <v>15000</v>
      </c>
    </row>
    <row r="51" spans="1:5" x14ac:dyDescent="0.3">
      <c r="A51" s="108"/>
      <c r="B51" s="109" t="s">
        <v>42</v>
      </c>
      <c r="C51" s="56">
        <f>SUM(C49:C50)</f>
        <v>85000</v>
      </c>
      <c r="D51" s="60">
        <f>SUM(D49:D50)</f>
        <v>70000</v>
      </c>
      <c r="E51" s="61">
        <f>SUM(E49:E50)</f>
        <v>15000</v>
      </c>
    </row>
    <row r="52" spans="1:5" ht="27" x14ac:dyDescent="0.3">
      <c r="A52" s="107">
        <v>48</v>
      </c>
      <c r="B52" s="122" t="s">
        <v>152</v>
      </c>
      <c r="C52" s="118">
        <f>D52+E52</f>
        <v>80000</v>
      </c>
      <c r="D52" s="57">
        <v>55000</v>
      </c>
      <c r="E52" s="57">
        <v>25000</v>
      </c>
    </row>
    <row r="53" spans="1:5" x14ac:dyDescent="0.3">
      <c r="A53" s="108"/>
      <c r="B53" s="109" t="s">
        <v>43</v>
      </c>
      <c r="C53" s="56">
        <f>SUM(C52:C52)</f>
        <v>80000</v>
      </c>
      <c r="D53" s="60">
        <f>SUM(D52:D52)</f>
        <v>55000</v>
      </c>
      <c r="E53" s="56">
        <f>SUM(E52:E52)</f>
        <v>25000</v>
      </c>
    </row>
    <row r="54" spans="1:5" x14ac:dyDescent="0.3">
      <c r="A54" s="110">
        <v>49</v>
      </c>
      <c r="B54" s="111" t="s">
        <v>154</v>
      </c>
      <c r="C54" s="118">
        <f>D54+E54</f>
        <v>12000</v>
      </c>
      <c r="D54" s="89"/>
      <c r="E54" s="58">
        <v>12000</v>
      </c>
    </row>
    <row r="55" spans="1:5" x14ac:dyDescent="0.3">
      <c r="A55" s="108"/>
      <c r="B55" s="109" t="s">
        <v>97</v>
      </c>
      <c r="C55" s="56">
        <f>C54</f>
        <v>12000</v>
      </c>
      <c r="D55" s="56">
        <f t="shared" ref="D55:E55" si="7">D54</f>
        <v>0</v>
      </c>
      <c r="E55" s="56">
        <f t="shared" si="7"/>
        <v>12000</v>
      </c>
    </row>
    <row r="56" spans="1:5" ht="27" x14ac:dyDescent="0.3">
      <c r="A56" s="107">
        <v>50</v>
      </c>
      <c r="B56" s="87" t="s">
        <v>162</v>
      </c>
      <c r="C56" s="118">
        <f>D56+E56</f>
        <v>110000</v>
      </c>
      <c r="D56" s="57">
        <v>80000</v>
      </c>
      <c r="E56" s="57">
        <v>30000</v>
      </c>
    </row>
    <row r="57" spans="1:5" x14ac:dyDescent="0.3">
      <c r="A57" s="54"/>
      <c r="B57" s="55" t="s">
        <v>40</v>
      </c>
      <c r="C57" s="56">
        <f>SUM(C56:C56)</f>
        <v>110000</v>
      </c>
      <c r="D57" s="60">
        <f>SUM(D56:D56)</f>
        <v>80000</v>
      </c>
      <c r="E57" s="56">
        <f>SUM(E56:E56)</f>
        <v>30000</v>
      </c>
    </row>
    <row r="58" spans="1:5" x14ac:dyDescent="0.3">
      <c r="A58" s="107"/>
      <c r="B58" s="63" t="s">
        <v>45</v>
      </c>
      <c r="C58" s="64">
        <f>C32+C38+C43+C46+C48+C51+C53+C55+C57</f>
        <v>4697012</v>
      </c>
      <c r="D58" s="64">
        <f t="shared" ref="D58:E58" si="8">D32+D38+D43+D46+D48+D51+D53+D55+D57</f>
        <v>3242990</v>
      </c>
      <c r="E58" s="64">
        <f t="shared" si="8"/>
        <v>1454022</v>
      </c>
    </row>
    <row r="59" spans="1:5" x14ac:dyDescent="0.3">
      <c r="A59" s="120"/>
      <c r="B59" s="120"/>
      <c r="C59" s="127"/>
      <c r="D59" s="120"/>
      <c r="E59" s="120"/>
    </row>
    <row r="60" spans="1:5" x14ac:dyDescent="0.3">
      <c r="A60" s="120"/>
      <c r="B60" s="120"/>
      <c r="C60" s="120"/>
      <c r="D60" s="120"/>
      <c r="E60" s="120"/>
    </row>
    <row r="61" spans="1:5" x14ac:dyDescent="0.3">
      <c r="A61" s="120"/>
      <c r="B61" s="120"/>
      <c r="C61" s="120"/>
      <c r="D61" s="120"/>
      <c r="E61" s="127"/>
    </row>
    <row r="62" spans="1:5" x14ac:dyDescent="0.3">
      <c r="A62" s="120"/>
      <c r="B62" s="120"/>
      <c r="C62" s="120"/>
      <c r="D62" s="120"/>
      <c r="E62" s="120"/>
    </row>
    <row r="63" spans="1:5" x14ac:dyDescent="0.3">
      <c r="A63" s="120"/>
      <c r="B63" s="120"/>
      <c r="C63" s="120"/>
      <c r="D63" s="120"/>
      <c r="E63" s="120"/>
    </row>
    <row r="64" spans="1:5" x14ac:dyDescent="0.3">
      <c r="A64" s="120"/>
      <c r="B64" s="120"/>
      <c r="C64" s="120"/>
      <c r="D64" s="120"/>
      <c r="E64" s="120"/>
    </row>
    <row r="65" spans="1:5" x14ac:dyDescent="0.3">
      <c r="A65" s="120"/>
      <c r="B65" s="120"/>
      <c r="C65" s="120"/>
      <c r="D65" s="120"/>
      <c r="E65" s="120"/>
    </row>
    <row r="66" spans="1:5" x14ac:dyDescent="0.3">
      <c r="A66" s="120"/>
      <c r="B66" s="120"/>
      <c r="C66" s="120"/>
      <c r="D66" s="120"/>
      <c r="E66" s="120"/>
    </row>
  </sheetData>
  <mergeCells count="1">
    <mergeCell ref="B1:C1"/>
  </mergeCells>
  <pageMargins left="0" right="0" top="0.15748031496062992" bottom="0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Tabela 1.</vt:lpstr>
      <vt:lpstr>Tabela 3.</vt:lpstr>
      <vt:lpstr>Tabela 6.</vt:lpstr>
      <vt:lpstr>Tabela 7.</vt:lpstr>
      <vt:lpstr>Tabela 8.</vt:lpstr>
      <vt:lpstr>Tabela 9.</vt:lpstr>
      <vt:lpstr>Projektet 2025</vt:lpstr>
      <vt:lpstr>Projektet 2026</vt:lpstr>
      <vt:lpstr>Projektet 2027</vt:lpstr>
      <vt:lpstr>Tabela.11</vt:lpstr>
      <vt:lpstr>Tabela 13. (2)</vt:lpstr>
      <vt:lpstr>'Projektet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2024-10-10T22:03:56Z</dcterms:modified>
</cp:coreProperties>
</file>